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2128" yWindow="468" windowWidth="19440" windowHeight="11688" tabRatio="911"/>
  </bookViews>
  <sheets>
    <sheet name="CRM Apportioned Totals" sheetId="5" r:id="rId1"/>
    <sheet name="SB2K-Inchcape-KI" sheetId="1" r:id="rId2"/>
    <sheet name="SB2K-NNG-KI" sheetId="3" r:id="rId3"/>
    <sheet name="SB2K-Seagreen-KI" sheetId="2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 l="1"/>
  <c r="M35" i="1"/>
  <c r="M36" i="1"/>
  <c r="M33" i="1"/>
  <c r="N28" i="5"/>
  <c r="M28" i="5"/>
  <c r="L28" i="5"/>
  <c r="L29" i="5" s="1"/>
  <c r="K28" i="5"/>
  <c r="J28" i="5"/>
  <c r="K25" i="5"/>
  <c r="L25" i="5"/>
  <c r="M25" i="5"/>
  <c r="K26" i="5"/>
  <c r="L26" i="5"/>
  <c r="M26" i="5"/>
  <c r="K27" i="5"/>
  <c r="L27" i="5"/>
  <c r="M27" i="5"/>
  <c r="M24" i="5"/>
  <c r="L24" i="5"/>
  <c r="K24" i="5"/>
  <c r="M29" i="5"/>
  <c r="F17" i="5"/>
  <c r="F16" i="5"/>
  <c r="D9" i="5"/>
  <c r="D8" i="5"/>
  <c r="D7" i="5"/>
  <c r="D6" i="5"/>
  <c r="C9" i="5"/>
  <c r="C8" i="5"/>
  <c r="C7" i="5"/>
  <c r="C6" i="5"/>
  <c r="M32" i="2"/>
  <c r="M33" i="2"/>
  <c r="M34" i="2"/>
  <c r="M31" i="2"/>
  <c r="L32" i="2"/>
  <c r="L33" i="2"/>
  <c r="L34" i="2"/>
  <c r="L31" i="2"/>
  <c r="J32" i="2"/>
  <c r="J33" i="2"/>
  <c r="J34" i="2"/>
  <c r="J36" i="2" s="1"/>
  <c r="J31" i="2"/>
  <c r="I32" i="2"/>
  <c r="I33" i="2"/>
  <c r="I36" i="2" s="1"/>
  <c r="I34" i="2"/>
  <c r="I31" i="2"/>
  <c r="G32" i="2"/>
  <c r="G33" i="2"/>
  <c r="G34" i="2"/>
  <c r="G31" i="2"/>
  <c r="F32" i="2"/>
  <c r="F33" i="2"/>
  <c r="F34" i="2"/>
  <c r="F31" i="2"/>
  <c r="G22" i="2"/>
  <c r="G3" i="2"/>
  <c r="G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F22" i="2"/>
  <c r="G2" i="2"/>
  <c r="F3" i="2"/>
  <c r="F4" i="2"/>
  <c r="F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" i="2"/>
  <c r="C36" i="2"/>
  <c r="D36" i="2"/>
  <c r="E36" i="2"/>
  <c r="K36" i="2"/>
  <c r="B36" i="2"/>
  <c r="N33" i="3"/>
  <c r="N34" i="3"/>
  <c r="N35" i="3"/>
  <c r="N32" i="3"/>
  <c r="M33" i="3"/>
  <c r="M34" i="3"/>
  <c r="M35" i="3"/>
  <c r="M32" i="3"/>
  <c r="L33" i="3"/>
  <c r="L34" i="3"/>
  <c r="L35" i="3"/>
  <c r="L32" i="3"/>
  <c r="J33" i="3"/>
  <c r="J34" i="3"/>
  <c r="J35" i="3"/>
  <c r="J32" i="3"/>
  <c r="I33" i="3"/>
  <c r="I34" i="3"/>
  <c r="I35" i="3"/>
  <c r="I32" i="3"/>
  <c r="G37" i="3"/>
  <c r="G33" i="3"/>
  <c r="G34" i="3"/>
  <c r="G35" i="3"/>
  <c r="G32" i="3"/>
  <c r="F37" i="3"/>
  <c r="F33" i="3"/>
  <c r="F34" i="3"/>
  <c r="F35" i="3"/>
  <c r="F32" i="3"/>
  <c r="L3" i="3"/>
  <c r="L4" i="3"/>
  <c r="L5" i="3"/>
  <c r="L2" i="3"/>
  <c r="G3" i="3"/>
  <c r="G4" i="3"/>
  <c r="G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" i="3"/>
  <c r="F24" i="3"/>
  <c r="F3" i="3"/>
  <c r="F4" i="3"/>
  <c r="F5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C37" i="3"/>
  <c r="D37" i="3"/>
  <c r="E37" i="3"/>
  <c r="K37" i="3"/>
  <c r="B37" i="3"/>
  <c r="N34" i="1"/>
  <c r="B7" i="5" s="1"/>
  <c r="N35" i="1"/>
  <c r="B8" i="5" s="1"/>
  <c r="N36" i="1"/>
  <c r="B9" i="5" s="1"/>
  <c r="N33" i="1"/>
  <c r="B6" i="5" s="1"/>
  <c r="J35" i="1"/>
  <c r="J36" i="1"/>
  <c r="J38" i="1" s="1"/>
  <c r="J33" i="1"/>
  <c r="J34" i="1"/>
  <c r="I34" i="1"/>
  <c r="I35" i="1"/>
  <c r="I38" i="1" s="1"/>
  <c r="I36" i="1"/>
  <c r="I33" i="1"/>
  <c r="H34" i="1"/>
  <c r="H35" i="1"/>
  <c r="H38" i="1" s="1"/>
  <c r="H36" i="1"/>
  <c r="H33" i="1"/>
  <c r="G34" i="1"/>
  <c r="G35" i="1"/>
  <c r="G36" i="1"/>
  <c r="G33" i="1"/>
  <c r="C38" i="1"/>
  <c r="D38" i="1"/>
  <c r="E38" i="1"/>
  <c r="F38" i="1"/>
  <c r="K38" i="1"/>
  <c r="B38" i="1"/>
  <c r="D35" i="3"/>
  <c r="D34" i="3"/>
  <c r="D33" i="3"/>
  <c r="D32" i="3"/>
  <c r="F36" i="1"/>
  <c r="D36" i="1"/>
  <c r="F35" i="1"/>
  <c r="D35" i="1"/>
  <c r="F34" i="1"/>
  <c r="D34" i="1"/>
  <c r="F33" i="1"/>
  <c r="D33" i="1"/>
  <c r="D34" i="2"/>
  <c r="D33" i="2"/>
  <c r="D32" i="2"/>
  <c r="D31" i="2"/>
  <c r="G2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G3" i="1"/>
  <c r="G4" i="1"/>
  <c r="G5" i="1"/>
  <c r="G2" i="1"/>
  <c r="F23" i="1"/>
  <c r="F3" i="1"/>
  <c r="F4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N38" i="1" l="1"/>
  <c r="K29" i="5"/>
  <c r="F36" i="2"/>
  <c r="I37" i="3"/>
  <c r="G38" i="1"/>
  <c r="B6" i="1" l="1"/>
  <c r="B23" i="1"/>
  <c r="H8" i="1" s="1"/>
  <c r="L8" i="1" s="1"/>
  <c r="B6" i="2"/>
  <c r="B22" i="2" s="1"/>
  <c r="B6" i="3"/>
  <c r="B24" i="3" s="1"/>
  <c r="C22" i="2"/>
  <c r="E22" i="2"/>
  <c r="J2" i="2"/>
  <c r="B17" i="2"/>
  <c r="B21" i="1"/>
  <c r="B20" i="1"/>
  <c r="B19" i="1"/>
  <c r="B10" i="1"/>
  <c r="B22" i="3"/>
  <c r="B16" i="3"/>
  <c r="B15" i="3"/>
  <c r="B14" i="3"/>
  <c r="B12" i="3"/>
  <c r="B10" i="3"/>
  <c r="J19" i="2"/>
  <c r="E23" i="1"/>
  <c r="J11" i="1" s="1"/>
  <c r="C23" i="1"/>
  <c r="C24" i="3"/>
  <c r="E24" i="3"/>
  <c r="D22" i="3"/>
  <c r="D21" i="3"/>
  <c r="B21" i="3"/>
  <c r="D20" i="3"/>
  <c r="B20" i="3"/>
  <c r="D19" i="3"/>
  <c r="B19" i="3"/>
  <c r="D18" i="3"/>
  <c r="B18" i="3"/>
  <c r="D17" i="3"/>
  <c r="B17" i="3"/>
  <c r="D16" i="3"/>
  <c r="D15" i="3"/>
  <c r="D14" i="3"/>
  <c r="D13" i="3"/>
  <c r="B13" i="3"/>
  <c r="D12" i="3"/>
  <c r="D11" i="3"/>
  <c r="B11" i="3"/>
  <c r="D10" i="3"/>
  <c r="D9" i="3"/>
  <c r="B9" i="3"/>
  <c r="D8" i="3"/>
  <c r="B8" i="3"/>
  <c r="D7" i="3"/>
  <c r="B7" i="3"/>
  <c r="D2" i="3"/>
  <c r="D5" i="3"/>
  <c r="D3" i="3"/>
  <c r="D4" i="3"/>
  <c r="D20" i="2"/>
  <c r="D19" i="2"/>
  <c r="B19" i="2"/>
  <c r="D18" i="2"/>
  <c r="B18" i="2"/>
  <c r="D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D9" i="2"/>
  <c r="B9" i="2"/>
  <c r="D8" i="2"/>
  <c r="B8" i="2"/>
  <c r="D7" i="2"/>
  <c r="B7" i="2"/>
  <c r="D2" i="2"/>
  <c r="D5" i="2"/>
  <c r="D3" i="2"/>
  <c r="D4" i="2"/>
  <c r="D21" i="1"/>
  <c r="D20" i="1"/>
  <c r="D19" i="1"/>
  <c r="D18" i="1"/>
  <c r="B18" i="1"/>
  <c r="D17" i="1"/>
  <c r="B17" i="1"/>
  <c r="D16" i="1"/>
  <c r="B16" i="1"/>
  <c r="D15" i="1"/>
  <c r="D14" i="1"/>
  <c r="D13" i="1"/>
  <c r="B13" i="1"/>
  <c r="D12" i="1"/>
  <c r="B12" i="1"/>
  <c r="D11" i="1"/>
  <c r="B11" i="1"/>
  <c r="D10" i="1"/>
  <c r="D9" i="1"/>
  <c r="B9" i="1"/>
  <c r="D8" i="1"/>
  <c r="B8" i="1"/>
  <c r="D7" i="1"/>
  <c r="B7" i="1"/>
  <c r="D2" i="1"/>
  <c r="D5" i="1"/>
  <c r="D3" i="1"/>
  <c r="D4" i="1"/>
  <c r="D22" i="2"/>
  <c r="I2" i="2"/>
  <c r="B22" i="1"/>
  <c r="B23" i="3"/>
  <c r="I17" i="2"/>
  <c r="B21" i="2"/>
  <c r="D23" i="1"/>
  <c r="I16" i="1" s="1"/>
  <c r="D24" i="3"/>
  <c r="I2" i="3"/>
  <c r="J11" i="2"/>
  <c r="J4" i="2"/>
  <c r="J12" i="2"/>
  <c r="J13" i="2"/>
  <c r="J18" i="2"/>
  <c r="J5" i="2"/>
  <c r="J10" i="2"/>
  <c r="J15" i="2"/>
  <c r="J20" i="2"/>
  <c r="J16" i="2"/>
  <c r="J17" i="2"/>
  <c r="J3" i="2"/>
  <c r="J7" i="2"/>
  <c r="J8" i="2"/>
  <c r="J9" i="2"/>
  <c r="J14" i="2"/>
  <c r="J22" i="2"/>
  <c r="I12" i="3"/>
  <c r="I17" i="3"/>
  <c r="I11" i="1"/>
  <c r="I13" i="2"/>
  <c r="I12" i="1"/>
  <c r="I17" i="1"/>
  <c r="I9" i="1"/>
  <c r="I19" i="1"/>
  <c r="I3" i="3"/>
  <c r="I15" i="3"/>
  <c r="I19" i="3"/>
  <c r="I14" i="3"/>
  <c r="I16" i="3"/>
  <c r="I11" i="3"/>
  <c r="I10" i="3"/>
  <c r="I9" i="3"/>
  <c r="I13" i="3"/>
  <c r="I8" i="3"/>
  <c r="I7" i="3"/>
  <c r="I21" i="3"/>
  <c r="I20" i="3"/>
  <c r="I5" i="3"/>
  <c r="I4" i="3"/>
  <c r="I22" i="3"/>
  <c r="I18" i="3"/>
  <c r="I8" i="2"/>
  <c r="I7" i="2"/>
  <c r="I20" i="2"/>
  <c r="I14" i="2"/>
  <c r="I3" i="2"/>
  <c r="I4" i="2"/>
  <c r="I5" i="2"/>
  <c r="I9" i="2"/>
  <c r="I10" i="2"/>
  <c r="I11" i="2"/>
  <c r="I12" i="2"/>
  <c r="I15" i="2"/>
  <c r="I16" i="2"/>
  <c r="I18" i="2"/>
  <c r="I19" i="2"/>
  <c r="I22" i="2"/>
  <c r="I8" i="1"/>
  <c r="I13" i="1"/>
  <c r="I4" i="1"/>
  <c r="I5" i="1"/>
  <c r="I24" i="3"/>
  <c r="H34" i="2" l="1"/>
  <c r="H33" i="2"/>
  <c r="H32" i="2"/>
  <c r="H31" i="2"/>
  <c r="H5" i="2"/>
  <c r="L5" i="2" s="1"/>
  <c r="H2" i="2"/>
  <c r="H7" i="2"/>
  <c r="L7" i="2" s="1"/>
  <c r="H9" i="2"/>
  <c r="L9" i="2" s="1"/>
  <c r="H11" i="2"/>
  <c r="L11" i="2" s="1"/>
  <c r="H13" i="2"/>
  <c r="L13" i="2" s="1"/>
  <c r="H15" i="2"/>
  <c r="L15" i="2" s="1"/>
  <c r="H17" i="2"/>
  <c r="L17" i="2" s="1"/>
  <c r="H19" i="2"/>
  <c r="L19" i="2" s="1"/>
  <c r="H3" i="2"/>
  <c r="L3" i="2" s="1"/>
  <c r="H4" i="2"/>
  <c r="L4" i="2" s="1"/>
  <c r="H8" i="2"/>
  <c r="L8" i="2" s="1"/>
  <c r="H10" i="2"/>
  <c r="L10" i="2" s="1"/>
  <c r="H12" i="2"/>
  <c r="L12" i="2" s="1"/>
  <c r="H14" i="2"/>
  <c r="L14" i="2" s="1"/>
  <c r="H16" i="2"/>
  <c r="L16" i="2" s="1"/>
  <c r="H18" i="2"/>
  <c r="L18" i="2" s="1"/>
  <c r="H20" i="2"/>
  <c r="L20" i="2" s="1"/>
  <c r="J16" i="3"/>
  <c r="J14" i="3"/>
  <c r="J3" i="3"/>
  <c r="J13" i="3"/>
  <c r="J12" i="3"/>
  <c r="J20" i="3"/>
  <c r="J19" i="3"/>
  <c r="J5" i="3"/>
  <c r="J17" i="3"/>
  <c r="J22" i="3"/>
  <c r="J8" i="3"/>
  <c r="J11" i="3"/>
  <c r="J7" i="3"/>
  <c r="J15" i="3"/>
  <c r="J4" i="3"/>
  <c r="J18" i="3"/>
  <c r="J2" i="3"/>
  <c r="J21" i="3"/>
  <c r="J10" i="3"/>
  <c r="J9" i="3"/>
  <c r="H32" i="3"/>
  <c r="H34" i="3"/>
  <c r="H33" i="3"/>
  <c r="H35" i="3"/>
  <c r="H2" i="3"/>
  <c r="H5" i="3"/>
  <c r="H8" i="3"/>
  <c r="L8" i="3" s="1"/>
  <c r="H10" i="3"/>
  <c r="H12" i="3"/>
  <c r="L12" i="3" s="1"/>
  <c r="H14" i="3"/>
  <c r="L14" i="3" s="1"/>
  <c r="H16" i="3"/>
  <c r="L16" i="3" s="1"/>
  <c r="H18" i="3"/>
  <c r="L18" i="3" s="1"/>
  <c r="H20" i="3"/>
  <c r="H22" i="3"/>
  <c r="L22" i="3" s="1"/>
  <c r="H3" i="3"/>
  <c r="H4" i="3"/>
  <c r="H7" i="3"/>
  <c r="L7" i="3" s="1"/>
  <c r="H9" i="3"/>
  <c r="L9" i="3" s="1"/>
  <c r="H11" i="3"/>
  <c r="L11" i="3" s="1"/>
  <c r="H13" i="3"/>
  <c r="L13" i="3" s="1"/>
  <c r="H15" i="3"/>
  <c r="H17" i="3"/>
  <c r="L17" i="3" s="1"/>
  <c r="H19" i="3"/>
  <c r="L19" i="3" s="1"/>
  <c r="H21" i="3"/>
  <c r="H18" i="1"/>
  <c r="L18" i="1" s="1"/>
  <c r="H10" i="1"/>
  <c r="L10" i="1" s="1"/>
  <c r="H14" i="1"/>
  <c r="L14" i="1" s="1"/>
  <c r="H4" i="1"/>
  <c r="L4" i="1" s="1"/>
  <c r="H20" i="1"/>
  <c r="L20" i="1" s="1"/>
  <c r="H12" i="1"/>
  <c r="L12" i="1" s="1"/>
  <c r="H2" i="1"/>
  <c r="L2" i="1" s="1"/>
  <c r="H16" i="1"/>
  <c r="L16" i="1" s="1"/>
  <c r="H7" i="1"/>
  <c r="L7" i="1" s="1"/>
  <c r="H19" i="1"/>
  <c r="L19" i="1" s="1"/>
  <c r="H15" i="1"/>
  <c r="L15" i="1" s="1"/>
  <c r="H11" i="1"/>
  <c r="L11" i="1" s="1"/>
  <c r="H5" i="1"/>
  <c r="L5" i="1" s="1"/>
  <c r="L36" i="1"/>
  <c r="L35" i="1"/>
  <c r="L34" i="1"/>
  <c r="L33" i="1"/>
  <c r="H21" i="1"/>
  <c r="L21" i="1" s="1"/>
  <c r="H17" i="1"/>
  <c r="L17" i="1" s="1"/>
  <c r="H13" i="1"/>
  <c r="L13" i="1" s="1"/>
  <c r="H9" i="1"/>
  <c r="L9" i="1" s="1"/>
  <c r="H3" i="1"/>
  <c r="L3" i="1" s="1"/>
  <c r="J3" i="1"/>
  <c r="J5" i="1"/>
  <c r="J9" i="1"/>
  <c r="J19" i="1"/>
  <c r="J2" i="1"/>
  <c r="I20" i="1"/>
  <c r="I10" i="1"/>
  <c r="I3" i="1"/>
  <c r="I7" i="1"/>
  <c r="I2" i="1"/>
  <c r="J20" i="1"/>
  <c r="J17" i="1"/>
  <c r="J21" i="1"/>
  <c r="J4" i="1"/>
  <c r="J13" i="1"/>
  <c r="J15" i="1"/>
  <c r="J12" i="1"/>
  <c r="J18" i="1"/>
  <c r="J16" i="1"/>
  <c r="I15" i="1"/>
  <c r="I14" i="1"/>
  <c r="I18" i="1"/>
  <c r="I21" i="1"/>
  <c r="J14" i="1"/>
  <c r="J7" i="1"/>
  <c r="J10" i="1"/>
  <c r="J8" i="1"/>
  <c r="H36" i="2" l="1"/>
  <c r="L2" i="2"/>
  <c r="H22" i="2"/>
  <c r="L15" i="3"/>
  <c r="J37" i="3"/>
  <c r="L21" i="3"/>
  <c r="L10" i="3"/>
  <c r="J24" i="3"/>
  <c r="L20" i="3"/>
  <c r="H24" i="3"/>
  <c r="H37" i="3"/>
  <c r="L38" i="1"/>
  <c r="H23" i="1"/>
  <c r="J23" i="1"/>
  <c r="I23" i="1"/>
  <c r="L36" i="2" l="1"/>
  <c r="L22" i="2"/>
  <c r="M2" i="2" s="1"/>
  <c r="L37" i="3"/>
  <c r="L24" i="3"/>
  <c r="L23" i="1"/>
  <c r="M2" i="1"/>
  <c r="M21" i="1"/>
  <c r="N31" i="2" l="1"/>
  <c r="D24" i="5"/>
  <c r="M20" i="2"/>
  <c r="M17" i="2"/>
  <c r="M3" i="2"/>
  <c r="D25" i="5" s="1"/>
  <c r="M4" i="2"/>
  <c r="D26" i="5" s="1"/>
  <c r="M12" i="2"/>
  <c r="M19" i="2"/>
  <c r="M11" i="2"/>
  <c r="M7" i="2"/>
  <c r="M18" i="2"/>
  <c r="M5" i="2"/>
  <c r="D27" i="5" s="1"/>
  <c r="M13" i="2"/>
  <c r="M9" i="2"/>
  <c r="M15" i="2"/>
  <c r="N33" i="2"/>
  <c r="M16" i="2"/>
  <c r="M8" i="2"/>
  <c r="M14" i="2"/>
  <c r="N32" i="2"/>
  <c r="M10" i="2"/>
  <c r="N34" i="2"/>
  <c r="M2" i="3"/>
  <c r="C24" i="5" s="1"/>
  <c r="M18" i="3"/>
  <c r="M22" i="3"/>
  <c r="M7" i="3"/>
  <c r="M21" i="3"/>
  <c r="M10" i="3"/>
  <c r="M5" i="3"/>
  <c r="C27" i="5" s="1"/>
  <c r="F27" i="5" s="1"/>
  <c r="M20" i="3"/>
  <c r="M3" i="3"/>
  <c r="C25" i="5" s="1"/>
  <c r="F25" i="5" s="1"/>
  <c r="M14" i="3"/>
  <c r="M12" i="3"/>
  <c r="M13" i="3"/>
  <c r="M11" i="3"/>
  <c r="M16" i="3"/>
  <c r="M4" i="3"/>
  <c r="C26" i="5" s="1"/>
  <c r="F26" i="5" s="1"/>
  <c r="M19" i="3"/>
  <c r="M8" i="3"/>
  <c r="M17" i="3"/>
  <c r="M15" i="3"/>
  <c r="M9" i="3"/>
  <c r="M3" i="1"/>
  <c r="B25" i="5" s="1"/>
  <c r="M7" i="1"/>
  <c r="B24" i="5"/>
  <c r="J24" i="5" s="1"/>
  <c r="M19" i="1"/>
  <c r="M15" i="1"/>
  <c r="M10" i="1"/>
  <c r="M13" i="1"/>
  <c r="M11" i="1"/>
  <c r="M8" i="1"/>
  <c r="M12" i="1"/>
  <c r="M9" i="1"/>
  <c r="M16" i="1"/>
  <c r="M5" i="1"/>
  <c r="B27" i="5" s="1"/>
  <c r="M4" i="1"/>
  <c r="B26" i="5" s="1"/>
  <c r="M17" i="1"/>
  <c r="M18" i="1"/>
  <c r="M14" i="1"/>
  <c r="M20" i="1"/>
  <c r="E27" i="5" l="1"/>
  <c r="J27" i="5"/>
  <c r="N27" i="5" s="1"/>
  <c r="E25" i="5"/>
  <c r="J25" i="5"/>
  <c r="N25" i="5" s="1"/>
  <c r="E26" i="5"/>
  <c r="J26" i="5"/>
  <c r="N26" i="5" s="1"/>
  <c r="N24" i="5"/>
  <c r="N36" i="2"/>
  <c r="M36" i="2"/>
  <c r="M21" i="2"/>
  <c r="G26" i="5"/>
  <c r="H26" i="5"/>
  <c r="G25" i="5"/>
  <c r="H25" i="5"/>
  <c r="M6" i="2"/>
  <c r="D10" i="5" s="1"/>
  <c r="H27" i="5"/>
  <c r="G27" i="5"/>
  <c r="G24" i="5"/>
  <c r="H24" i="5"/>
  <c r="M37" i="3"/>
  <c r="I26" i="5"/>
  <c r="I25" i="5"/>
  <c r="M6" i="3"/>
  <c r="F24" i="5"/>
  <c r="M23" i="3"/>
  <c r="C11" i="5" s="1"/>
  <c r="M38" i="1"/>
  <c r="M6" i="1"/>
  <c r="B10" i="5" s="1"/>
  <c r="M22" i="1"/>
  <c r="B11" i="5" s="1"/>
  <c r="B28" i="5" s="1"/>
  <c r="E28" i="5" s="1"/>
  <c r="E24" i="5"/>
  <c r="J29" i="5" l="1"/>
  <c r="N29" i="5" s="1"/>
  <c r="I27" i="5"/>
  <c r="D11" i="5"/>
  <c r="M22" i="2"/>
  <c r="C10" i="5"/>
  <c r="C12" i="5" s="1"/>
  <c r="M24" i="3"/>
  <c r="C28" i="5"/>
  <c r="B29" i="5"/>
  <c r="B12" i="5"/>
  <c r="M23" i="1"/>
  <c r="I24" i="5"/>
  <c r="E29" i="5"/>
  <c r="D28" i="5" l="1"/>
  <c r="D12" i="5"/>
  <c r="F28" i="5"/>
  <c r="C29" i="5"/>
  <c r="G28" i="5" l="1"/>
  <c r="G29" i="5" s="1"/>
  <c r="H28" i="5"/>
  <c r="H29" i="5" s="1"/>
  <c r="D29" i="5"/>
  <c r="F29" i="5"/>
  <c r="I28" i="5" l="1"/>
  <c r="I29" i="5"/>
  <c r="G36" i="2"/>
</calcChain>
</file>

<file path=xl/comments1.xml><?xml version="1.0" encoding="utf-8"?>
<comments xmlns="http://schemas.openxmlformats.org/spreadsheetml/2006/main">
  <authors>
    <author>Vicki Saint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Vicki Saint:</t>
        </r>
        <r>
          <rPr>
            <sz val="9"/>
            <color indexed="81"/>
            <rFont val="Tahoma"/>
            <family val="2"/>
          </rPr>
          <t xml:space="preserve">
These CRM predictions are project specific and based on snapshot Aerial Abundance Data </t>
        </r>
      </text>
    </comment>
  </commentList>
</comments>
</file>

<file path=xl/comments2.xml><?xml version="1.0" encoding="utf-8"?>
<comments xmlns="http://schemas.openxmlformats.org/spreadsheetml/2006/main">
  <authors>
    <author>Glen Tyler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>Glen Tyler:</t>
        </r>
        <r>
          <rPr>
            <sz val="9"/>
            <color indexed="81"/>
            <rFont val="Tahoma"/>
            <charset val="1"/>
          </rPr>
          <t xml:space="preserve">
SPA values here are SB2K values supplied by Roddy 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Glen Tyler:</t>
        </r>
        <r>
          <rPr>
            <sz val="9"/>
            <color indexed="81"/>
            <rFont val="Tahoma"/>
            <charset val="1"/>
          </rPr>
          <t xml:space="preserve">
These values from Appendix A(ii) for Forth and Tay Scoping opinions (Nov 2017)</t>
        </r>
      </text>
    </comment>
  </commentList>
</comments>
</file>

<file path=xl/comments3.xml><?xml version="1.0" encoding="utf-8"?>
<comments xmlns="http://schemas.openxmlformats.org/spreadsheetml/2006/main">
  <authors>
    <author>Glen Tyler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>Glen Tyler:</t>
        </r>
        <r>
          <rPr>
            <sz val="9"/>
            <color indexed="81"/>
            <rFont val="Tahoma"/>
            <charset val="1"/>
          </rPr>
          <t xml:space="preserve">
SPA values here are SB2K values supplied by Roddy </t>
        </r>
      </text>
    </comment>
  </commentList>
</comments>
</file>

<file path=xl/comments4.xml><?xml version="1.0" encoding="utf-8"?>
<comments xmlns="http://schemas.openxmlformats.org/spreadsheetml/2006/main">
  <authors>
    <author>Glen Tyler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>Glen Tyler:</t>
        </r>
        <r>
          <rPr>
            <sz val="9"/>
            <color indexed="81"/>
            <rFont val="Tahoma"/>
            <charset val="1"/>
          </rPr>
          <t xml:space="preserve">
SPA values here are SB2K values supplied by Roddy </t>
        </r>
      </text>
    </comment>
  </commentList>
</comments>
</file>

<file path=xl/sharedStrings.xml><?xml version="1.0" encoding="utf-8"?>
<sst xmlns="http://schemas.openxmlformats.org/spreadsheetml/2006/main" count="184" uniqueCount="86">
  <si>
    <t>Kittiwake Colony Name</t>
  </si>
  <si>
    <t>Pop (Individs)</t>
  </si>
  <si>
    <t>Distance</t>
  </si>
  <si>
    <t>Distance ^2</t>
  </si>
  <si>
    <t>Proportion Sea</t>
  </si>
  <si>
    <t>Colpop/sumpop</t>
  </si>
  <si>
    <t>Sum dist2/col dist2</t>
  </si>
  <si>
    <t>colsea/sumsea</t>
  </si>
  <si>
    <t>SNHWeighting</t>
  </si>
  <si>
    <t>Fowlsheugh</t>
  </si>
  <si>
    <t>Forth Islands</t>
  </si>
  <si>
    <t>St Abbs Head to Fast Castle</t>
  </si>
  <si>
    <t>Buchan Ness</t>
  </si>
  <si>
    <t>Berwick to Border</t>
  </si>
  <si>
    <t>Burn of Daff</t>
  </si>
  <si>
    <t>Catterline to Inv</t>
  </si>
  <si>
    <t>Dunbar Coast</t>
  </si>
  <si>
    <t>Eyemouth to Burnmouth</t>
  </si>
  <si>
    <t>Findon Ness - Hare Ness</t>
  </si>
  <si>
    <t>Girdle Ness to Hare Ness</t>
  </si>
  <si>
    <t>Inchcolm</t>
  </si>
  <si>
    <t>Inchkeith</t>
  </si>
  <si>
    <t>Montrose to Lunnan Bay</t>
  </si>
  <si>
    <t>Newton Hill</t>
  </si>
  <si>
    <t>Newton Hill - Hall Bay</t>
  </si>
  <si>
    <t>St Abbs to Eyemouth</t>
  </si>
  <si>
    <t>Stonehaven to wine cove</t>
  </si>
  <si>
    <t>Whiting Ness to Ethie Haven SSSI</t>
  </si>
  <si>
    <t>Sum</t>
  </si>
  <si>
    <t>Sands of Fv</t>
  </si>
  <si>
    <t>Farne Islands</t>
  </si>
  <si>
    <t>Inchkieth</t>
  </si>
  <si>
    <t>Incholm</t>
  </si>
  <si>
    <t>Seahouses</t>
  </si>
  <si>
    <t>Inch Cape</t>
  </si>
  <si>
    <t>NNG</t>
  </si>
  <si>
    <t>Seagreen</t>
  </si>
  <si>
    <t>SPA Total</t>
  </si>
  <si>
    <t>Non-SPA Total</t>
  </si>
  <si>
    <t>SB2K</t>
  </si>
  <si>
    <t>Total SPA</t>
  </si>
  <si>
    <t>Non-SPA</t>
  </si>
  <si>
    <t>Total SPA and Non-SPA</t>
  </si>
  <si>
    <t>Total on Projects</t>
  </si>
  <si>
    <t>Proportion of Impact</t>
  </si>
  <si>
    <t xml:space="preserve">Inch Cape </t>
  </si>
  <si>
    <t>Total</t>
  </si>
  <si>
    <t xml:space="preserve">Buchan Ness to Collieston Coast SPA </t>
  </si>
  <si>
    <t xml:space="preserve">Fowlsheugh SPA </t>
  </si>
  <si>
    <t xml:space="preserve">Forth Islands SPA </t>
  </si>
  <si>
    <t xml:space="preserve">St Abb’s Head to Fastcastle SPA </t>
  </si>
  <si>
    <t>Non-SPA Proportion</t>
  </si>
  <si>
    <t>Year Counted</t>
  </si>
  <si>
    <t>SPA TOTAL</t>
  </si>
  <si>
    <t>Table 1. Apportioned % per Colony Per Project</t>
  </si>
  <si>
    <t>nb/  Stonehaven to Wine Cove is referred to as Crawton - Stonehaven (Fowlsheugh)</t>
  </si>
  <si>
    <t>nb/ Fowlsheugh SPA is comprised of sites Fowlsheugh 2-5 &amp; Trollochy Cove</t>
  </si>
  <si>
    <t>Colony counts taken from either JNCC SMP database (http://jncc.defra.gov.uk/smp/) or SB2K database (http://jncc.defra.gov.uk/files/Seabird%202000.zip)</t>
  </si>
  <si>
    <t>Seagreen Alpha</t>
  </si>
  <si>
    <t>Seagreen Bravo</t>
  </si>
  <si>
    <t>FTOWDG - Kittiwake CRM Apportioning</t>
  </si>
  <si>
    <t>Totals</t>
  </si>
  <si>
    <t xml:space="preserve">UPDATED POPULATION FIGURES </t>
  </si>
  <si>
    <t>NOTE IN THIS UPDATED DOCUMENT THE POPULATION</t>
  </si>
  <si>
    <t>Scenario 2</t>
  </si>
  <si>
    <t>1-PropSea</t>
  </si>
  <si>
    <t>1-Propsea/Sum1-propSea</t>
  </si>
  <si>
    <t>Latest Count</t>
  </si>
  <si>
    <t>SPA</t>
  </si>
  <si>
    <t>SUM SPA only</t>
  </si>
  <si>
    <t>Stage 2 Proportion</t>
  </si>
  <si>
    <t>Stage 1 apportioning</t>
  </si>
  <si>
    <t>Stage 1 SNH prop</t>
  </si>
  <si>
    <t>Stage 2 Apportioning</t>
  </si>
  <si>
    <t>1-propsea/1-Sumpropsea</t>
  </si>
  <si>
    <t>1-PropSea/Sum(1-propsea)</t>
  </si>
  <si>
    <t>SPA only SUM</t>
  </si>
  <si>
    <t>Stage 2 apportioning</t>
  </si>
  <si>
    <t>Stage ! Apportioning</t>
  </si>
  <si>
    <t>Table 2. Worst Case Scenarios Breeding Season Collisions + Displacement - Kittiwake Adult</t>
  </si>
  <si>
    <t>Adult Mortality Breeding Season</t>
  </si>
  <si>
    <t>Table 3. Apportioning 2 - stage (Seabird 2K then latest counts for SPAs)</t>
  </si>
  <si>
    <t>Immature Mortality Breeding Season</t>
  </si>
  <si>
    <t>Seagreen Apha</t>
  </si>
  <si>
    <t xml:space="preserve">Immatures </t>
  </si>
  <si>
    <t>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</si>
</sst>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6" formatCode="_-* #,##0.0000000_-;\-* #,##0.0000000_-;_-* &quot;-&quot;??_-;_-@_-"/>
    <numFmt numFmtId="167" formatCode="0.000"/>
    <numFmt numFmtId="168" formatCode="_-* #,##0.00_-;\-* #,##0.00_-;_-* &quot;-&quot;???????_-;_-@_-"/>
    <numFmt numFmtId="169" formatCode="_-* #,##0.00000_-;\-* #,##0.00000_-;_-* &quot;-&quot;??_-;_-@_-"/>
    <numFmt numFmtId="170" formatCode="0.000000"/>
    <numFmt numFmtId="171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>
      <alignment wrapTex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0" xfId="0" applyFont="1"/>
    <xf numFmtId="0" fontId="0" fillId="2" borderId="0" xfId="0" applyFill="1"/>
    <xf numFmtId="0" fontId="0" fillId="0" borderId="0" xfId="0" applyFont="1"/>
    <xf numFmtId="0" fontId="4" fillId="0" borderId="0" xfId="0" applyFont="1"/>
    <xf numFmtId="164" fontId="0" fillId="0" borderId="0" xfId="1" applyNumberFormat="1" applyFont="1"/>
    <xf numFmtId="43" fontId="0" fillId="0" borderId="0" xfId="0" applyNumberFormat="1"/>
    <xf numFmtId="165" fontId="0" fillId="0" borderId="0" xfId="0" applyNumberFormat="1"/>
    <xf numFmtId="166" fontId="0" fillId="2" borderId="0" xfId="0" applyNumberFormat="1" applyFill="1"/>
    <xf numFmtId="43" fontId="0" fillId="0" borderId="0" xfId="0" applyNumberFormat="1" applyFont="1"/>
    <xf numFmtId="165" fontId="0" fillId="0" borderId="0" xfId="0" applyNumberFormat="1" applyFont="1"/>
    <xf numFmtId="43" fontId="0" fillId="0" borderId="0" xfId="1" applyNumberFormat="1" applyFont="1"/>
    <xf numFmtId="0" fontId="3" fillId="0" borderId="0" xfId="0" applyFont="1"/>
    <xf numFmtId="2" fontId="0" fillId="0" borderId="0" xfId="0" applyNumberFormat="1"/>
    <xf numFmtId="0" fontId="3" fillId="0" borderId="9" xfId="0" applyFont="1" applyBorder="1"/>
    <xf numFmtId="0" fontId="3" fillId="0" borderId="11" xfId="0" applyFont="1" applyBorder="1"/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7" fillId="0" borderId="9" xfId="0" applyFont="1" applyBorder="1"/>
    <xf numFmtId="167" fontId="0" fillId="0" borderId="0" xfId="0" applyNumberFormat="1" applyFont="1" applyBorder="1"/>
    <xf numFmtId="167" fontId="0" fillId="0" borderId="0" xfId="0" applyNumberFormat="1" applyFont="1"/>
    <xf numFmtId="10" fontId="0" fillId="0" borderId="5" xfId="0" applyNumberFormat="1" applyFont="1" applyFill="1" applyBorder="1"/>
    <xf numFmtId="10" fontId="0" fillId="0" borderId="0" xfId="0" applyNumberFormat="1" applyFont="1" applyBorder="1"/>
    <xf numFmtId="0" fontId="3" fillId="0" borderId="15" xfId="0" applyFont="1" applyBorder="1" applyAlignment="1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15" fillId="5" borderId="0" xfId="0" applyFont="1" applyFill="1"/>
    <xf numFmtId="164" fontId="15" fillId="5" borderId="0" xfId="1" applyNumberFormat="1" applyFont="1" applyFill="1"/>
    <xf numFmtId="43" fontId="15" fillId="5" borderId="0" xfId="1" applyFont="1" applyFill="1"/>
    <xf numFmtId="0" fontId="3" fillId="5" borderId="0" xfId="0" applyFont="1" applyFill="1"/>
    <xf numFmtId="164" fontId="3" fillId="5" borderId="0" xfId="1" applyNumberFormat="1" applyFont="1" applyFill="1"/>
    <xf numFmtId="43" fontId="3" fillId="5" borderId="0" xfId="1" applyFont="1" applyFill="1"/>
    <xf numFmtId="166" fontId="15" fillId="5" borderId="0" xfId="0" applyNumberFormat="1" applyFont="1" applyFill="1"/>
    <xf numFmtId="168" fontId="0" fillId="0" borderId="0" xfId="0" applyNumberForma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3" fillId="0" borderId="7" xfId="0" applyFont="1" applyBorder="1"/>
    <xf numFmtId="0" fontId="9" fillId="0" borderId="0" xfId="0" applyFont="1" applyBorder="1"/>
    <xf numFmtId="0" fontId="9" fillId="0" borderId="7" xfId="0" applyFont="1" applyBorder="1"/>
    <xf numFmtId="0" fontId="16" fillId="0" borderId="0" xfId="0" applyFont="1"/>
    <xf numFmtId="164" fontId="0" fillId="0" borderId="0" xfId="1" applyNumberFormat="1" applyFont="1" applyFill="1"/>
    <xf numFmtId="169" fontId="0" fillId="2" borderId="0" xfId="0" applyNumberFormat="1" applyFill="1"/>
    <xf numFmtId="170" fontId="0" fillId="2" borderId="0" xfId="0" applyNumberFormat="1" applyFill="1"/>
    <xf numFmtId="169" fontId="15" fillId="5" borderId="0" xfId="0" applyNumberFormat="1" applyFont="1" applyFill="1"/>
    <xf numFmtId="166" fontId="0" fillId="0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69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3" fillId="2" borderId="0" xfId="0" applyFont="1" applyFill="1"/>
    <xf numFmtId="10" fontId="14" fillId="5" borderId="0" xfId="0" applyNumberFormat="1" applyFont="1" applyFill="1" applyBorder="1"/>
    <xf numFmtId="10" fontId="14" fillId="5" borderId="5" xfId="0" applyNumberFormat="1" applyFont="1" applyFill="1" applyBorder="1"/>
    <xf numFmtId="0" fontId="0" fillId="0" borderId="8" xfId="0" applyFont="1" applyBorder="1" applyAlignment="1">
      <alignment wrapText="1"/>
    </xf>
    <xf numFmtId="10" fontId="16" fillId="0" borderId="12" xfId="0" applyNumberFormat="1" applyFont="1" applyBorder="1"/>
    <xf numFmtId="43" fontId="0" fillId="0" borderId="0" xfId="1" applyFont="1" applyFill="1" applyBorder="1"/>
    <xf numFmtId="43" fontId="0" fillId="0" borderId="5" xfId="1" applyFont="1" applyFill="1" applyBorder="1"/>
    <xf numFmtId="43" fontId="14" fillId="5" borderId="0" xfId="1" applyFont="1" applyFill="1" applyBorder="1"/>
    <xf numFmtId="10" fontId="16" fillId="0" borderId="17" xfId="0" applyNumberFormat="1" applyFont="1" applyBorder="1"/>
    <xf numFmtId="0" fontId="0" fillId="0" borderId="5" xfId="0" applyBorder="1"/>
    <xf numFmtId="0" fontId="0" fillId="0" borderId="17" xfId="0" applyBorder="1"/>
    <xf numFmtId="43" fontId="0" fillId="5" borderId="0" xfId="1" applyFont="1" applyFill="1" applyBorder="1"/>
    <xf numFmtId="43" fontId="16" fillId="6" borderId="12" xfId="1" applyFont="1" applyFill="1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17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4" xfId="3" applyFont="1" applyFill="1" applyBorder="1" applyAlignment="1">
      <alignment wrapText="1"/>
    </xf>
    <xf numFmtId="0" fontId="0" fillId="0" borderId="4" xfId="3" applyFont="1" applyFill="1" applyBorder="1" applyAlignment="1">
      <alignment horizontal="left" wrapText="1"/>
    </xf>
    <xf numFmtId="0" fontId="14" fillId="5" borderId="4" xfId="3" applyFont="1" applyFill="1" applyBorder="1" applyAlignment="1">
      <alignment horizontal="left" wrapText="1"/>
    </xf>
    <xf numFmtId="0" fontId="16" fillId="0" borderId="16" xfId="0" applyFont="1" applyBorder="1" applyAlignment="1">
      <alignment horizontal="right" wrapText="1"/>
    </xf>
    <xf numFmtId="169" fontId="3" fillId="0" borderId="0" xfId="0" applyNumberFormat="1" applyFont="1" applyBorder="1"/>
    <xf numFmtId="43" fontId="0" fillId="0" borderId="21" xfId="1" applyFont="1" applyFill="1" applyBorder="1"/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164" fontId="0" fillId="0" borderId="0" xfId="0" applyNumberFormat="1"/>
    <xf numFmtId="171" fontId="0" fillId="0" borderId="0" xfId="0" applyNumberFormat="1"/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3" fontId="0" fillId="0" borderId="6" xfId="1" applyFont="1" applyFill="1" applyBorder="1"/>
    <xf numFmtId="43" fontId="14" fillId="5" borderId="6" xfId="1" applyFont="1" applyFill="1" applyBorder="1"/>
    <xf numFmtId="43" fontId="16" fillId="6" borderId="25" xfId="1" applyFont="1" applyFill="1" applyBorder="1"/>
    <xf numFmtId="43" fontId="16" fillId="6" borderId="9" xfId="1" applyFont="1" applyFill="1" applyBorder="1"/>
    <xf numFmtId="43" fontId="0" fillId="0" borderId="5" xfId="0" applyNumberFormat="1" applyBorder="1"/>
  </cellXfs>
  <cellStyles count="18">
    <cellStyle name="Comma" xfId="1" builtinId="3"/>
    <cellStyle name="Comma 2" xfId="2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3.xml" Id="Rac837e9073b34357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116" zoomScaleNormal="116" zoomScalePageLayoutView="116" workbookViewId="0">
      <selection activeCell="B28" sqref="B28"/>
    </sheetView>
  </sheetViews>
  <sheetFormatPr defaultColWidth="8.88671875" defaultRowHeight="14.4" x14ac:dyDescent="0.3"/>
  <cols>
    <col min="1" max="1" width="23.44140625" style="32" customWidth="1"/>
    <col min="2" max="4" width="9.44140625" customWidth="1"/>
    <col min="5" max="5" width="9.88671875" customWidth="1"/>
    <col min="6" max="6" width="7.44140625" bestFit="1" customWidth="1"/>
    <col min="7" max="7" width="9.6640625" customWidth="1"/>
    <col min="8" max="8" width="9.109375" customWidth="1"/>
    <col min="9" max="9" width="8.44140625" customWidth="1"/>
    <col min="13" max="13" width="10.109375" bestFit="1" customWidth="1"/>
  </cols>
  <sheetData>
    <row r="1" spans="1:9" ht="18" x14ac:dyDescent="0.35">
      <c r="A1" s="98" t="s">
        <v>60</v>
      </c>
      <c r="B1" s="98"/>
      <c r="C1" s="98"/>
      <c r="D1" s="98"/>
      <c r="E1" s="98"/>
      <c r="F1" s="98"/>
      <c r="G1" s="98"/>
      <c r="H1" s="98"/>
      <c r="I1" s="98"/>
    </row>
    <row r="2" spans="1:9" ht="15" thickBot="1" x14ac:dyDescent="0.35"/>
    <row r="3" spans="1:9" ht="15" thickBot="1" x14ac:dyDescent="0.35">
      <c r="A3" s="102" t="s">
        <v>54</v>
      </c>
      <c r="B3" s="103"/>
      <c r="C3" s="103"/>
      <c r="D3" s="104"/>
    </row>
    <row r="4" spans="1:9" x14ac:dyDescent="0.3">
      <c r="A4" s="72"/>
      <c r="B4" s="27" t="s">
        <v>34</v>
      </c>
      <c r="C4" s="43" t="s">
        <v>35</v>
      </c>
      <c r="D4" s="42" t="s">
        <v>36</v>
      </c>
    </row>
    <row r="5" spans="1:9" x14ac:dyDescent="0.3">
      <c r="A5" s="73"/>
      <c r="B5" s="16" t="s">
        <v>39</v>
      </c>
      <c r="C5" s="16" t="s">
        <v>39</v>
      </c>
      <c r="D5" s="17" t="s">
        <v>39</v>
      </c>
    </row>
    <row r="6" spans="1:9" x14ac:dyDescent="0.3">
      <c r="A6" s="74" t="s">
        <v>12</v>
      </c>
      <c r="B6" s="44">
        <f>'SB2K-Inchcape-KI'!N33</f>
        <v>2.8565963327714657E-2</v>
      </c>
      <c r="C6" s="86">
        <f>'SB2K-NNG-KI'!N32</f>
        <v>1.3722609985259955E-2</v>
      </c>
      <c r="D6" s="45">
        <f>'SB2K-Seagreen-KI'!N31</f>
        <v>4.5018379041079123E-2</v>
      </c>
    </row>
    <row r="7" spans="1:9" x14ac:dyDescent="0.3">
      <c r="A7" s="74" t="s">
        <v>10</v>
      </c>
      <c r="B7" s="44">
        <f>'SB2K-Inchcape-KI'!N34</f>
        <v>0.18832467086113314</v>
      </c>
      <c r="C7" s="44">
        <f>'SB2K-NNG-KI'!N33</f>
        <v>0.65399230051350365</v>
      </c>
      <c r="D7" s="45">
        <f>'SB2K-Seagreen-KI'!N32</f>
        <v>9.092894636437511E-2</v>
      </c>
    </row>
    <row r="8" spans="1:9" x14ac:dyDescent="0.3">
      <c r="A8" s="75" t="s">
        <v>9</v>
      </c>
      <c r="B8" s="44">
        <f>'SB2K-Inchcape-KI'!N35</f>
        <v>0.30984771110105208</v>
      </c>
      <c r="C8" s="44">
        <f>'SB2K-NNG-KI'!N34</f>
        <v>7.4198748507872017E-2</v>
      </c>
      <c r="D8" s="45">
        <f>'SB2K-Seagreen-KI'!N33</f>
        <v>0.51780534720882998</v>
      </c>
    </row>
    <row r="9" spans="1:9" ht="28.8" x14ac:dyDescent="0.3">
      <c r="A9" s="74" t="s">
        <v>11</v>
      </c>
      <c r="B9" s="44">
        <f>'SB2K-Inchcape-KI'!N36</f>
        <v>3.8623841813294701E-2</v>
      </c>
      <c r="C9" s="44">
        <f>'SB2K-NNG-KI'!N35</f>
        <v>9.2401882849537209E-2</v>
      </c>
      <c r="D9" s="45">
        <f>'SB2K-Seagreen-KI'!N34</f>
        <v>3.2228817472229242E-2</v>
      </c>
    </row>
    <row r="10" spans="1:9" x14ac:dyDescent="0.3">
      <c r="A10" s="76" t="s">
        <v>40</v>
      </c>
      <c r="B10" s="18">
        <f>'SB2K-Inchcape-KI'!M6</f>
        <v>0.56536218710319464</v>
      </c>
      <c r="C10" s="18">
        <f>'SB2K-NNG-KI'!M6</f>
        <v>0.83431554185617285</v>
      </c>
      <c r="D10" s="19">
        <f>'SB2K-Seagreen-KI'!M6</f>
        <v>0.68598149008651355</v>
      </c>
      <c r="I10" s="5"/>
    </row>
    <row r="11" spans="1:9" x14ac:dyDescent="0.3">
      <c r="A11" s="77" t="s">
        <v>41</v>
      </c>
      <c r="B11" s="46">
        <f>'SB2K-Inchcape-KI'!M22</f>
        <v>0.4346378128968057</v>
      </c>
      <c r="C11" s="46">
        <f>'SB2K-NNG-KI'!M23</f>
        <v>0.16568445814382704</v>
      </c>
      <c r="D11" s="47">
        <f>'SB2K-Seagreen-KI'!M21</f>
        <v>0.31401850991348668</v>
      </c>
    </row>
    <row r="12" spans="1:9" ht="15" thickBot="1" x14ac:dyDescent="0.35">
      <c r="A12" s="78" t="s">
        <v>42</v>
      </c>
      <c r="B12" s="20">
        <f>B11+B10</f>
        <v>1.0000000000000004</v>
      </c>
      <c r="C12" s="20">
        <f>C11+C10</f>
        <v>0.99999999999999989</v>
      </c>
      <c r="D12" s="21">
        <f>D11+D10</f>
        <v>1.0000000000000002</v>
      </c>
    </row>
    <row r="13" spans="1:9" ht="6" customHeight="1" thickBot="1" x14ac:dyDescent="0.35"/>
    <row r="14" spans="1:9" x14ac:dyDescent="0.3">
      <c r="A14" s="99" t="s">
        <v>79</v>
      </c>
      <c r="B14" s="100"/>
      <c r="C14" s="100"/>
      <c r="D14" s="100"/>
      <c r="E14" s="100"/>
      <c r="F14" s="100"/>
      <c r="G14" s="101"/>
      <c r="H14" s="5"/>
    </row>
    <row r="15" spans="1:9" ht="28.8" x14ac:dyDescent="0.3">
      <c r="A15" s="62"/>
      <c r="B15" s="22" t="s">
        <v>34</v>
      </c>
      <c r="C15" s="22" t="s">
        <v>35</v>
      </c>
      <c r="D15" s="28" t="s">
        <v>58</v>
      </c>
      <c r="E15" s="29" t="s">
        <v>59</v>
      </c>
      <c r="F15" s="107" t="s">
        <v>43</v>
      </c>
      <c r="G15" s="108"/>
      <c r="H15" s="5"/>
    </row>
    <row r="16" spans="1:9" x14ac:dyDescent="0.3">
      <c r="A16" s="79" t="s">
        <v>85</v>
      </c>
      <c r="B16" s="18">
        <v>288</v>
      </c>
      <c r="C16" s="18">
        <v>20</v>
      </c>
      <c r="D16" s="18">
        <v>84.36</v>
      </c>
      <c r="E16" s="68">
        <v>95.46</v>
      </c>
      <c r="F16" s="109">
        <f>SUM(B16:E16)</f>
        <v>487.82</v>
      </c>
      <c r="G16" s="110"/>
      <c r="H16" s="5"/>
    </row>
    <row r="17" spans="1:14" x14ac:dyDescent="0.3">
      <c r="A17" s="79" t="s">
        <v>84</v>
      </c>
      <c r="B17" s="18">
        <v>25</v>
      </c>
      <c r="C17" s="18">
        <v>2</v>
      </c>
      <c r="D17" s="18">
        <v>6</v>
      </c>
      <c r="E17" s="68">
        <v>5</v>
      </c>
      <c r="F17" s="109">
        <f>SUM(B17:E17)</f>
        <v>38</v>
      </c>
      <c r="G17" s="110"/>
      <c r="H17" s="5"/>
    </row>
    <row r="18" spans="1:14" ht="15" thickBot="1" x14ac:dyDescent="0.35">
      <c r="A18" s="78"/>
      <c r="B18" s="20"/>
      <c r="C18" s="20"/>
      <c r="D18" s="20"/>
      <c r="E18" s="69"/>
      <c r="F18" s="105"/>
      <c r="G18" s="106"/>
      <c r="H18" s="5"/>
    </row>
    <row r="19" spans="1:14" ht="6" customHeight="1" thickBot="1" x14ac:dyDescent="0.35">
      <c r="A19" s="80"/>
      <c r="B19" s="23"/>
      <c r="C19" s="23"/>
      <c r="D19" s="23"/>
      <c r="E19" s="23"/>
      <c r="F19" s="24"/>
      <c r="G19" s="5"/>
      <c r="H19" s="5"/>
      <c r="I19" s="5"/>
    </row>
    <row r="20" spans="1:14" ht="43.2" x14ac:dyDescent="0.3">
      <c r="A20" s="88" t="s">
        <v>81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x14ac:dyDescent="0.3">
      <c r="A21" s="81"/>
      <c r="B21" s="18"/>
      <c r="C21" s="18"/>
      <c r="D21" s="18"/>
      <c r="E21" s="95" t="s">
        <v>80</v>
      </c>
      <c r="F21" s="96"/>
      <c r="G21" s="96"/>
      <c r="H21" s="96"/>
      <c r="I21" s="97"/>
      <c r="J21" s="114" t="s">
        <v>82</v>
      </c>
      <c r="K21" s="115"/>
      <c r="L21" s="115"/>
      <c r="M21" s="115"/>
      <c r="N21" s="116"/>
    </row>
    <row r="22" spans="1:14" x14ac:dyDescent="0.3">
      <c r="A22" s="81"/>
      <c r="B22" s="93" t="s">
        <v>44</v>
      </c>
      <c r="C22" s="93"/>
      <c r="D22" s="94"/>
      <c r="E22" s="90" t="s">
        <v>64</v>
      </c>
      <c r="F22" s="91"/>
      <c r="G22" s="91"/>
      <c r="H22" s="91"/>
      <c r="I22" s="92"/>
      <c r="J22" s="113" t="s">
        <v>64</v>
      </c>
      <c r="K22" s="96"/>
      <c r="L22" s="96"/>
      <c r="M22" s="96"/>
      <c r="N22" s="97"/>
    </row>
    <row r="23" spans="1:14" s="32" customFormat="1" ht="28.8" x14ac:dyDescent="0.3">
      <c r="A23" s="62"/>
      <c r="B23" s="28" t="s">
        <v>45</v>
      </c>
      <c r="C23" s="28" t="s">
        <v>35</v>
      </c>
      <c r="D23" s="29" t="s">
        <v>36</v>
      </c>
      <c r="E23" s="30" t="s">
        <v>45</v>
      </c>
      <c r="F23" s="30" t="s">
        <v>35</v>
      </c>
      <c r="G23" s="30" t="s">
        <v>58</v>
      </c>
      <c r="H23" s="30" t="s">
        <v>59</v>
      </c>
      <c r="I23" s="31" t="s">
        <v>46</v>
      </c>
      <c r="J23" s="117" t="s">
        <v>34</v>
      </c>
      <c r="K23" s="80" t="s">
        <v>35</v>
      </c>
      <c r="L23" s="80" t="s">
        <v>83</v>
      </c>
      <c r="M23" s="80" t="s">
        <v>59</v>
      </c>
      <c r="N23" s="118" t="s">
        <v>46</v>
      </c>
    </row>
    <row r="24" spans="1:14" ht="28.8" x14ac:dyDescent="0.3">
      <c r="A24" s="82" t="s">
        <v>47</v>
      </c>
      <c r="B24" s="26">
        <f t="shared" ref="B24:D26" si="0">B6</f>
        <v>2.8565963327714657E-2</v>
      </c>
      <c r="C24" s="26">
        <f t="shared" si="0"/>
        <v>1.3722609985259955E-2</v>
      </c>
      <c r="D24" s="25">
        <f t="shared" si="0"/>
        <v>4.5018379041079123E-2</v>
      </c>
      <c r="E24" s="64">
        <f>$B$16/1*B24</f>
        <v>8.2269974383818205</v>
      </c>
      <c r="F24" s="64">
        <f>$C$16/1*C24</f>
        <v>0.27445219970519913</v>
      </c>
      <c r="G24" s="64">
        <f>$D$16/1*D24</f>
        <v>3.7977504559054349</v>
      </c>
      <c r="H24" s="64">
        <f>$E$16/1*D24</f>
        <v>4.2974544632614124</v>
      </c>
      <c r="I24" s="65">
        <f>SUM(E24:H24)</f>
        <v>16.596654557253867</v>
      </c>
      <c r="J24" s="119">
        <f>$B$17/1*B24</f>
        <v>0.71414908319286641</v>
      </c>
      <c r="K24" s="64">
        <f>$C$17/1*C24</f>
        <v>2.7445219970519911E-2</v>
      </c>
      <c r="L24" s="64">
        <f>$D$17/1*D24</f>
        <v>0.27011027424647471</v>
      </c>
      <c r="M24" s="64">
        <f>$E$17/1*D24</f>
        <v>0.22509189520539563</v>
      </c>
      <c r="N24" s="123">
        <f>SUM(J24:M24)</f>
        <v>1.2367964726152567</v>
      </c>
    </row>
    <row r="25" spans="1:14" x14ac:dyDescent="0.3">
      <c r="A25" s="83" t="s">
        <v>49</v>
      </c>
      <c r="B25" s="26">
        <f t="shared" si="0"/>
        <v>0.18832467086113314</v>
      </c>
      <c r="C25" s="26">
        <f t="shared" si="0"/>
        <v>0.65399230051350365</v>
      </c>
      <c r="D25" s="25">
        <f t="shared" si="0"/>
        <v>9.092894636437511E-2</v>
      </c>
      <c r="E25" s="64">
        <f>$B$16/1*B25</f>
        <v>54.23750520800634</v>
      </c>
      <c r="F25" s="64">
        <f>$C$16/1*C25</f>
        <v>13.079846010270073</v>
      </c>
      <c r="G25" s="64">
        <f t="shared" ref="G25:G28" si="1">$D$16/1*D25</f>
        <v>7.6707659152986842</v>
      </c>
      <c r="H25" s="64">
        <f>$E$16/1*D25</f>
        <v>8.6800772199432465</v>
      </c>
      <c r="I25" s="65">
        <f t="shared" ref="I25:I29" si="2">SUM(E25:H25)</f>
        <v>83.668194353518345</v>
      </c>
      <c r="J25" s="119">
        <f t="shared" ref="J25:J27" si="3">$B$17/1*B25</f>
        <v>4.7081167715283287</v>
      </c>
      <c r="K25" s="64">
        <f t="shared" ref="K25:K27" si="4">$C$17/1*C25</f>
        <v>1.3079846010270073</v>
      </c>
      <c r="L25" s="64">
        <f t="shared" ref="L25:L27" si="5">$D$17/1*D25</f>
        <v>0.54557367818625069</v>
      </c>
      <c r="M25" s="64">
        <f t="shared" ref="M25:M27" si="6">$E$17/1*D25</f>
        <v>0.45464473182187554</v>
      </c>
      <c r="N25" s="123">
        <f t="shared" ref="N25:N29" si="7">SUM(J25:M25)</f>
        <v>7.0163197825634613</v>
      </c>
    </row>
    <row r="26" spans="1:14" x14ac:dyDescent="0.3">
      <c r="A26" s="82" t="s">
        <v>48</v>
      </c>
      <c r="B26" s="26">
        <f t="shared" si="0"/>
        <v>0.30984771110105208</v>
      </c>
      <c r="C26" s="26">
        <f t="shared" si="0"/>
        <v>7.4198748507872017E-2</v>
      </c>
      <c r="D26" s="25">
        <f t="shared" si="0"/>
        <v>0.51780534720882998</v>
      </c>
      <c r="E26" s="64">
        <f>$B$16/1*B26</f>
        <v>89.236140797103005</v>
      </c>
      <c r="F26" s="64">
        <f>$C$16/1*C26</f>
        <v>1.4839749701574403</v>
      </c>
      <c r="G26" s="64">
        <f t="shared" si="1"/>
        <v>43.682059090536896</v>
      </c>
      <c r="H26" s="64">
        <f>$E$16/1*D26</f>
        <v>49.429698444554909</v>
      </c>
      <c r="I26" s="65">
        <f t="shared" si="2"/>
        <v>183.83187330235222</v>
      </c>
      <c r="J26" s="119">
        <f t="shared" si="3"/>
        <v>7.7461927775263018</v>
      </c>
      <c r="K26" s="64">
        <f t="shared" si="4"/>
        <v>0.14839749701574403</v>
      </c>
      <c r="L26" s="64">
        <f t="shared" si="5"/>
        <v>3.1068320832529799</v>
      </c>
      <c r="M26" s="64">
        <f t="shared" si="6"/>
        <v>2.5890267360441497</v>
      </c>
      <c r="N26" s="123">
        <f t="shared" si="7"/>
        <v>13.590449093839176</v>
      </c>
    </row>
    <row r="27" spans="1:14" ht="28.8" x14ac:dyDescent="0.3">
      <c r="A27" s="83" t="s">
        <v>50</v>
      </c>
      <c r="B27" s="26">
        <f>B9</f>
        <v>3.8623841813294701E-2</v>
      </c>
      <c r="C27" s="26">
        <f>C9</f>
        <v>9.2401882849537209E-2</v>
      </c>
      <c r="D27" s="25">
        <f t="shared" ref="D27" si="8">D9</f>
        <v>3.2228817472229242E-2</v>
      </c>
      <c r="E27" s="64">
        <f>$B$16/1*B27</f>
        <v>11.123666442228874</v>
      </c>
      <c r="F27" s="64">
        <f>$C$16/1*C27</f>
        <v>1.8480376569907442</v>
      </c>
      <c r="G27" s="64">
        <f t="shared" si="1"/>
        <v>2.718823041957259</v>
      </c>
      <c r="H27" s="64">
        <f>$E$16/1*D27</f>
        <v>3.0765629158990033</v>
      </c>
      <c r="I27" s="65">
        <f t="shared" si="2"/>
        <v>18.76709005707588</v>
      </c>
      <c r="J27" s="119">
        <f t="shared" si="3"/>
        <v>0.96559604533236754</v>
      </c>
      <c r="K27" s="64">
        <f t="shared" si="4"/>
        <v>0.18480376569907442</v>
      </c>
      <c r="L27" s="64">
        <f t="shared" si="5"/>
        <v>0.19337290483337544</v>
      </c>
      <c r="M27" s="64">
        <f t="shared" si="6"/>
        <v>0.16114408736114622</v>
      </c>
      <c r="N27" s="123">
        <f t="shared" si="7"/>
        <v>1.5049168032259637</v>
      </c>
    </row>
    <row r="28" spans="1:14" x14ac:dyDescent="0.3">
      <c r="A28" s="84" t="s">
        <v>51</v>
      </c>
      <c r="B28" s="60">
        <f>B11</f>
        <v>0.4346378128968057</v>
      </c>
      <c r="C28" s="60">
        <f t="shared" ref="C28:D28" si="9">C11</f>
        <v>0.16568445814382704</v>
      </c>
      <c r="D28" s="61">
        <f t="shared" si="9"/>
        <v>0.31401850991348668</v>
      </c>
      <c r="E28" s="66">
        <f>$B$16/1*B28</f>
        <v>125.17569011428004</v>
      </c>
      <c r="F28" s="66">
        <f>$C$16/1*C28</f>
        <v>3.3136891628765408</v>
      </c>
      <c r="G28" s="70">
        <f t="shared" si="1"/>
        <v>26.490601496301736</v>
      </c>
      <c r="H28" s="66">
        <f>$E$16/1*D28</f>
        <v>29.976206956341436</v>
      </c>
      <c r="I28" s="65">
        <f t="shared" si="2"/>
        <v>184.95618772979975</v>
      </c>
      <c r="J28" s="120">
        <f>$B$17/1*B28</f>
        <v>10.865945322420142</v>
      </c>
      <c r="K28" s="66">
        <f>$C$17/1*C28</f>
        <v>0.33136891628765408</v>
      </c>
      <c r="L28" s="66">
        <f>$D$17/1*D28</f>
        <v>1.8841110594809201</v>
      </c>
      <c r="M28" s="66">
        <f>$E$17/1*D28</f>
        <v>1.5700925495674334</v>
      </c>
      <c r="N28" s="123">
        <f t="shared" si="7"/>
        <v>14.651517847756152</v>
      </c>
    </row>
    <row r="29" spans="1:14" ht="15" thickBot="1" x14ac:dyDescent="0.35">
      <c r="A29" s="85" t="s">
        <v>61</v>
      </c>
      <c r="B29" s="63">
        <f t="shared" ref="B29:H29" si="10">SUM(B24:B28)</f>
        <v>1.0000000000000004</v>
      </c>
      <c r="C29" s="63">
        <f t="shared" si="10"/>
        <v>0.99999999999999989</v>
      </c>
      <c r="D29" s="67">
        <f t="shared" si="10"/>
        <v>1</v>
      </c>
      <c r="E29" s="71">
        <f t="shared" si="10"/>
        <v>288.00000000000011</v>
      </c>
      <c r="F29" s="71">
        <f t="shared" si="10"/>
        <v>20</v>
      </c>
      <c r="G29" s="71">
        <f t="shared" si="10"/>
        <v>84.360000000000014</v>
      </c>
      <c r="H29" s="71">
        <f t="shared" si="10"/>
        <v>95.460000000000008</v>
      </c>
      <c r="I29" s="87">
        <f t="shared" si="2"/>
        <v>487.82000000000016</v>
      </c>
      <c r="J29" s="121">
        <f t="shared" ref="J29:M29" si="11">SUM(J24:J28)</f>
        <v>25.000000000000007</v>
      </c>
      <c r="K29" s="122">
        <f t="shared" si="11"/>
        <v>1.9999999999999998</v>
      </c>
      <c r="L29" s="122">
        <f t="shared" si="11"/>
        <v>6.0000000000000018</v>
      </c>
      <c r="M29" s="122">
        <f t="shared" si="11"/>
        <v>5</v>
      </c>
      <c r="N29" s="123">
        <f t="shared" si="7"/>
        <v>38.000000000000007</v>
      </c>
    </row>
  </sheetData>
  <mergeCells count="12">
    <mergeCell ref="J21:N21"/>
    <mergeCell ref="J22:N22"/>
    <mergeCell ref="E22:I22"/>
    <mergeCell ref="B22:D22"/>
    <mergeCell ref="E21:I21"/>
    <mergeCell ref="A1:I1"/>
    <mergeCell ref="A14:G14"/>
    <mergeCell ref="A3:D3"/>
    <mergeCell ref="F18:G18"/>
    <mergeCell ref="F15:G15"/>
    <mergeCell ref="F16:G16"/>
    <mergeCell ref="F17:G17"/>
  </mergeCells>
  <pageMargins left="0.7" right="0.7" top="0.75" bottom="0.75" header="0.3" footer="0.3"/>
  <pageSetup paperSize="9" scale="9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workbookViewId="0">
      <pane ySplit="1" topLeftCell="A20" activePane="bottomLeft" state="frozen"/>
      <selection pane="bottomLeft" activeCell="M36" sqref="M36"/>
    </sheetView>
  </sheetViews>
  <sheetFormatPr defaultColWidth="8.886718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4" max="4" width="10.44140625" bestFit="1" customWidth="1"/>
  </cols>
  <sheetData>
    <row r="1" spans="1:14" ht="5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65</v>
      </c>
      <c r="G1" s="1" t="s">
        <v>66</v>
      </c>
      <c r="H1" s="1" t="s">
        <v>5</v>
      </c>
      <c r="I1" s="1" t="s">
        <v>6</v>
      </c>
      <c r="J1" s="1" t="s">
        <v>7</v>
      </c>
      <c r="K1" s="1" t="s">
        <v>52</v>
      </c>
      <c r="L1" s="1" t="s">
        <v>8</v>
      </c>
      <c r="M1" s="2" t="s">
        <v>71</v>
      </c>
      <c r="N1" s="1" t="s">
        <v>70</v>
      </c>
    </row>
    <row r="2" spans="1:14" x14ac:dyDescent="0.3">
      <c r="A2" s="3" t="s">
        <v>12</v>
      </c>
      <c r="B2" s="7">
        <v>28182</v>
      </c>
      <c r="C2">
        <v>96.02</v>
      </c>
      <c r="D2" s="33">
        <f>C2*C2</f>
        <v>9219.8403999999991</v>
      </c>
      <c r="E2">
        <v>0.71899999999999997</v>
      </c>
      <c r="F2">
        <f>1-E2</f>
        <v>0.28100000000000003</v>
      </c>
      <c r="G2">
        <f>F2/F$23</f>
        <v>2.9963744934954149E-2</v>
      </c>
      <c r="H2">
        <f>B2/$B$23</f>
        <v>0.18582845386928312</v>
      </c>
      <c r="I2" s="8">
        <f>$D$23/D2</f>
        <v>6.1588444741407899</v>
      </c>
      <c r="J2">
        <f>E2/$E$23</f>
        <v>7.4724589482436085E-2</v>
      </c>
      <c r="K2">
        <v>2001</v>
      </c>
      <c r="L2" s="8">
        <f>H2*I2*G2</f>
        <v>3.4293162880840271E-2</v>
      </c>
      <c r="M2" s="4">
        <f>L2/$L$23</f>
        <v>1.8701235009388702E-2</v>
      </c>
    </row>
    <row r="3" spans="1:14" x14ac:dyDescent="0.3">
      <c r="A3" s="3" t="s">
        <v>10</v>
      </c>
      <c r="B3" s="7">
        <v>11594</v>
      </c>
      <c r="C3">
        <v>33.22</v>
      </c>
      <c r="D3" s="33">
        <f>C3*C3</f>
        <v>1103.5683999999999</v>
      </c>
      <c r="E3">
        <v>0.45400000000000001</v>
      </c>
      <c r="F3">
        <f t="shared" ref="F3:F21" si="0">1-E3</f>
        <v>0.54600000000000004</v>
      </c>
      <c r="G3">
        <f t="shared" ref="G3:G21" si="1">F3/F$23</f>
        <v>5.8221369161868208E-2</v>
      </c>
      <c r="H3">
        <f>B3/$B$23</f>
        <v>7.6449332700321782E-2</v>
      </c>
      <c r="I3">
        <f>$D$23/D3</f>
        <v>51.454502593586419</v>
      </c>
      <c r="J3">
        <f>E3/$E$23</f>
        <v>4.7183537726044486E-2</v>
      </c>
      <c r="K3">
        <v>2001</v>
      </c>
      <c r="L3" s="8">
        <f t="shared" ref="L3:L21" si="2">H3*I3*G3</f>
        <v>0.2290232100328253</v>
      </c>
      <c r="M3" s="4">
        <f>L3/$L$23</f>
        <v>0.12489419212543365</v>
      </c>
    </row>
    <row r="4" spans="1:14" x14ac:dyDescent="0.3">
      <c r="A4" s="3" t="s">
        <v>9</v>
      </c>
      <c r="B4" s="7">
        <v>37600</v>
      </c>
      <c r="C4">
        <v>34</v>
      </c>
      <c r="D4" s="33">
        <f>C4*C4</f>
        <v>1156</v>
      </c>
      <c r="E4">
        <v>0.54600000000000004</v>
      </c>
      <c r="F4">
        <f t="shared" si="0"/>
        <v>0.45399999999999996</v>
      </c>
      <c r="G4">
        <f t="shared" si="1"/>
        <v>4.8411175090637658E-2</v>
      </c>
      <c r="H4">
        <f>B4/$B$23</f>
        <v>0.24792952471382604</v>
      </c>
      <c r="I4">
        <f>$D$23/D4</f>
        <v>49.120729325259518</v>
      </c>
      <c r="J4">
        <f>E4/$E$23</f>
        <v>5.6744959467886102E-2</v>
      </c>
      <c r="K4">
        <v>2000</v>
      </c>
      <c r="L4" s="8">
        <f t="shared" si="2"/>
        <v>0.58957448284756586</v>
      </c>
      <c r="M4" s="4">
        <f>L4/$L$23</f>
        <v>0.32151513692635453</v>
      </c>
    </row>
    <row r="5" spans="1:14" x14ac:dyDescent="0.3">
      <c r="A5" s="3" t="s">
        <v>11</v>
      </c>
      <c r="B5" s="7">
        <v>32444</v>
      </c>
      <c r="C5">
        <v>56.31</v>
      </c>
      <c r="D5" s="33">
        <f>C5*C5</f>
        <v>3170.8161000000005</v>
      </c>
      <c r="E5">
        <v>0.55000000000000004</v>
      </c>
      <c r="F5">
        <f t="shared" si="0"/>
        <v>0.44999999999999996</v>
      </c>
      <c r="G5">
        <f t="shared" si="1"/>
        <v>4.7984644913627632E-2</v>
      </c>
      <c r="H5">
        <f>B5/$B$23</f>
        <v>0.21393152925040881</v>
      </c>
      <c r="I5">
        <f>$D$23/D5</f>
        <v>17.908185561439531</v>
      </c>
      <c r="J5">
        <f>E5/$E$23</f>
        <v>5.7160673456661822E-2</v>
      </c>
      <c r="K5">
        <v>2000</v>
      </c>
      <c r="L5" s="8">
        <f t="shared" si="2"/>
        <v>0.18383519785311175</v>
      </c>
      <c r="M5" s="4">
        <f>L5/$L$23</f>
        <v>0.10025162304201769</v>
      </c>
    </row>
    <row r="6" spans="1:14" x14ac:dyDescent="0.3">
      <c r="A6" s="34" t="s">
        <v>37</v>
      </c>
      <c r="B6" s="35">
        <f>SUM(B2:B5)</f>
        <v>109820</v>
      </c>
      <c r="C6" s="34"/>
      <c r="D6" s="36"/>
      <c r="E6" s="34"/>
      <c r="F6" s="34"/>
      <c r="G6" s="34"/>
      <c r="H6" s="34"/>
      <c r="I6" s="34"/>
      <c r="J6" s="34"/>
      <c r="K6" s="34"/>
      <c r="L6" s="34"/>
      <c r="M6" s="34">
        <f>SUM(M2:M5)</f>
        <v>0.56536218710319464</v>
      </c>
    </row>
    <row r="7" spans="1:14" x14ac:dyDescent="0.3">
      <c r="A7" s="5" t="s">
        <v>13</v>
      </c>
      <c r="B7" s="7">
        <f>(1060*2)+(467*2)</f>
        <v>3054</v>
      </c>
      <c r="C7">
        <v>70.56</v>
      </c>
      <c r="D7" s="33">
        <f t="shared" ref="D7:D21" si="3">C7*C7</f>
        <v>4978.7136</v>
      </c>
      <c r="E7">
        <v>0.56499999999999995</v>
      </c>
      <c r="F7">
        <f t="shared" si="0"/>
        <v>0.43500000000000005</v>
      </c>
      <c r="G7">
        <f t="shared" si="1"/>
        <v>4.6385156749840055E-2</v>
      </c>
      <c r="H7">
        <f t="shared" ref="H7:H21" si="4">B7/$B$23</f>
        <v>2.0137680012660232E-2</v>
      </c>
      <c r="I7">
        <f t="shared" ref="I7:I21" si="5">$D$23/D7</f>
        <v>11.405268039519285</v>
      </c>
      <c r="J7">
        <f t="shared" ref="J7:J21" si="6">E7/$E$23</f>
        <v>5.871960091457077E-2</v>
      </c>
      <c r="K7">
        <v>2000</v>
      </c>
      <c r="L7" s="8">
        <f t="shared" si="2"/>
        <v>1.0653540481310527E-2</v>
      </c>
      <c r="M7" s="57">
        <f t="shared" ref="M7:M21" si="7">L7/$L$23</f>
        <v>5.8097401197816385E-3</v>
      </c>
    </row>
    <row r="8" spans="1:14" x14ac:dyDescent="0.3">
      <c r="A8" s="5" t="s">
        <v>14</v>
      </c>
      <c r="B8" s="7">
        <f>450*2</f>
        <v>900</v>
      </c>
      <c r="C8">
        <v>49.14</v>
      </c>
      <c r="D8" s="33">
        <f t="shared" si="3"/>
        <v>2414.7395999999999</v>
      </c>
      <c r="E8">
        <v>0.55400000000000005</v>
      </c>
      <c r="F8">
        <f t="shared" si="0"/>
        <v>0.44599999999999995</v>
      </c>
      <c r="G8">
        <f t="shared" si="1"/>
        <v>4.7558114736617613E-2</v>
      </c>
      <c r="H8">
        <f t="shared" si="4"/>
        <v>5.9344833043203041E-3</v>
      </c>
      <c r="I8">
        <f t="shared" si="5"/>
        <v>23.515398140652518</v>
      </c>
      <c r="J8">
        <f t="shared" si="6"/>
        <v>5.7576387445437548E-2</v>
      </c>
      <c r="K8">
        <v>1999</v>
      </c>
      <c r="L8" s="8">
        <f t="shared" si="2"/>
        <v>6.6368175513356366E-3</v>
      </c>
      <c r="M8" s="58">
        <f>L8/$L$23</f>
        <v>3.619283679759615E-3</v>
      </c>
    </row>
    <row r="9" spans="1:14" x14ac:dyDescent="0.3">
      <c r="A9" s="5" t="s">
        <v>15</v>
      </c>
      <c r="B9" s="7">
        <f>(148*2)+(15*2)+(199*2)+(20*2)+(15*2)+(337*2)+(50*2)+(134*2)+(28*2)+(281*2)+(72*2)+(718*2)+(841*2)+(84*2)+(10*2)+(116*2)</f>
        <v>6136</v>
      </c>
      <c r="C9">
        <v>30.36</v>
      </c>
      <c r="D9" s="33">
        <f t="shared" si="3"/>
        <v>921.7296</v>
      </c>
      <c r="E9">
        <v>0.52900000000000003</v>
      </c>
      <c r="F9">
        <f t="shared" si="0"/>
        <v>0.47099999999999997</v>
      </c>
      <c r="G9">
        <f t="shared" si="1"/>
        <v>5.0223928342930262E-2</v>
      </c>
      <c r="H9">
        <f t="shared" si="4"/>
        <v>4.0459988394788204E-2</v>
      </c>
      <c r="I9">
        <f t="shared" si="5"/>
        <v>61.605446000649223</v>
      </c>
      <c r="J9">
        <f t="shared" si="6"/>
        <v>5.4978175015589277E-2</v>
      </c>
      <c r="K9">
        <v>1999</v>
      </c>
      <c r="L9" s="8">
        <f t="shared" si="2"/>
        <v>0.12518593536404254</v>
      </c>
      <c r="M9" s="57">
        <f t="shared" si="7"/>
        <v>6.8268173607897317E-2</v>
      </c>
    </row>
    <row r="10" spans="1:14" x14ac:dyDescent="0.3">
      <c r="A10" s="5" t="s">
        <v>16</v>
      </c>
      <c r="B10" s="49">
        <f>1060*2</f>
        <v>2120</v>
      </c>
      <c r="C10">
        <v>49.91</v>
      </c>
      <c r="D10" s="33">
        <f t="shared" si="3"/>
        <v>2491.0080999999996</v>
      </c>
      <c r="E10">
        <v>0.42599999999999999</v>
      </c>
      <c r="F10">
        <f t="shared" si="0"/>
        <v>0.57400000000000007</v>
      </c>
      <c r="G10">
        <f t="shared" si="1"/>
        <v>6.120708040093837E-2</v>
      </c>
      <c r="H10">
        <f t="shared" si="4"/>
        <v>1.3979005116843383E-2</v>
      </c>
      <c r="I10">
        <f t="shared" si="5"/>
        <v>22.795414876410888</v>
      </c>
      <c r="J10">
        <f t="shared" si="6"/>
        <v>4.4273539804614424E-2</v>
      </c>
      <c r="K10">
        <v>2000</v>
      </c>
      <c r="L10" s="8">
        <f t="shared" si="2"/>
        <v>1.9504078158200419E-2</v>
      </c>
      <c r="M10" s="57">
        <f t="shared" si="7"/>
        <v>1.0636241123205895E-2</v>
      </c>
    </row>
    <row r="11" spans="1:14" x14ac:dyDescent="0.3">
      <c r="A11" s="5" t="s">
        <v>17</v>
      </c>
      <c r="B11" s="7">
        <f>(154*2)+(430*2)+(420*2)+(503*2)+(570*2)+(212*2)+(227*2)</f>
        <v>5032</v>
      </c>
      <c r="C11">
        <v>62.84</v>
      </c>
      <c r="D11" s="33">
        <f t="shared" si="3"/>
        <v>3948.8656000000005</v>
      </c>
      <c r="E11">
        <v>0.56799999999999995</v>
      </c>
      <c r="F11">
        <f t="shared" si="0"/>
        <v>0.43200000000000005</v>
      </c>
      <c r="G11">
        <f t="shared" si="1"/>
        <v>4.6065259117082535E-2</v>
      </c>
      <c r="H11">
        <f t="shared" si="4"/>
        <v>3.3180355541488633E-2</v>
      </c>
      <c r="I11">
        <f t="shared" si="5"/>
        <v>14.379715303554519</v>
      </c>
      <c r="J11">
        <f t="shared" si="6"/>
        <v>5.9031386406152561E-2</v>
      </c>
      <c r="K11">
        <v>2000</v>
      </c>
      <c r="L11" s="8">
        <f t="shared" si="2"/>
        <v>2.1978843747746217E-2</v>
      </c>
      <c r="M11" s="57">
        <f t="shared" si="7"/>
        <v>1.1985815469674293E-2</v>
      </c>
    </row>
    <row r="12" spans="1:14" x14ac:dyDescent="0.3">
      <c r="A12" s="5" t="s">
        <v>18</v>
      </c>
      <c r="B12" s="7">
        <f>(45*2)+(300*2)+(497*2)+(300*2)</f>
        <v>2284</v>
      </c>
      <c r="C12">
        <v>53.41</v>
      </c>
      <c r="D12" s="33">
        <f t="shared" si="3"/>
        <v>2852.6280999999994</v>
      </c>
      <c r="E12">
        <v>0.56999999999999995</v>
      </c>
      <c r="F12">
        <f t="shared" si="0"/>
        <v>0.43000000000000005</v>
      </c>
      <c r="G12">
        <f t="shared" si="1"/>
        <v>4.5851994028577529E-2</v>
      </c>
      <c r="H12">
        <f t="shared" si="4"/>
        <v>1.5060399852297304E-2</v>
      </c>
      <c r="I12">
        <f t="shared" si="5"/>
        <v>19.905701377617369</v>
      </c>
      <c r="J12">
        <f t="shared" si="6"/>
        <v>5.9239243400540424E-2</v>
      </c>
      <c r="K12">
        <v>1999</v>
      </c>
      <c r="L12" s="8">
        <f t="shared" si="2"/>
        <v>1.3745869428189108E-2</v>
      </c>
      <c r="M12" s="57">
        <f t="shared" si="7"/>
        <v>7.4960928940316302E-3</v>
      </c>
    </row>
    <row r="13" spans="1:14" x14ac:dyDescent="0.3">
      <c r="A13" s="5" t="s">
        <v>19</v>
      </c>
      <c r="B13" s="7">
        <f>(185*2)+(1128*2)+(82*2)</f>
        <v>2790</v>
      </c>
      <c r="C13">
        <v>57.85</v>
      </c>
      <c r="D13" s="33">
        <f t="shared" si="3"/>
        <v>3346.6224999999999</v>
      </c>
      <c r="E13">
        <v>0.58199999999999996</v>
      </c>
      <c r="F13">
        <f t="shared" si="0"/>
        <v>0.41800000000000004</v>
      </c>
      <c r="G13">
        <f t="shared" si="1"/>
        <v>4.4572403497547458E-2</v>
      </c>
      <c r="H13">
        <f t="shared" si="4"/>
        <v>1.8396898243392943E-2</v>
      </c>
      <c r="I13">
        <f t="shared" si="5"/>
        <v>16.967424052160052</v>
      </c>
      <c r="J13">
        <f t="shared" si="6"/>
        <v>6.0486385366867589E-2</v>
      </c>
      <c r="K13">
        <v>1999</v>
      </c>
      <c r="L13" s="8">
        <f t="shared" si="2"/>
        <v>1.391318543648498E-2</v>
      </c>
      <c r="M13" s="57">
        <f t="shared" si="7"/>
        <v>7.5873360378281478E-3</v>
      </c>
    </row>
    <row r="14" spans="1:14" x14ac:dyDescent="0.3">
      <c r="A14" s="5" t="s">
        <v>20</v>
      </c>
      <c r="B14" s="7">
        <v>232</v>
      </c>
      <c r="C14">
        <v>79.540000000000006</v>
      </c>
      <c r="D14" s="33">
        <f t="shared" si="3"/>
        <v>6326.6116000000011</v>
      </c>
      <c r="E14">
        <v>0.16800000000000001</v>
      </c>
      <c r="F14">
        <f t="shared" si="0"/>
        <v>0.83199999999999996</v>
      </c>
      <c r="G14">
        <f t="shared" si="1"/>
        <v>8.8718276818084876E-2</v>
      </c>
      <c r="H14">
        <f t="shared" si="4"/>
        <v>1.5297779184470118E-3</v>
      </c>
      <c r="I14">
        <f t="shared" si="5"/>
        <v>8.9753515294031949</v>
      </c>
      <c r="J14">
        <f t="shared" si="6"/>
        <v>1.7459987528580339E-2</v>
      </c>
      <c r="K14">
        <v>1999</v>
      </c>
      <c r="L14" s="8">
        <f t="shared" si="2"/>
        <v>1.2181280753405714E-3</v>
      </c>
      <c r="M14" s="57">
        <f t="shared" si="7"/>
        <v>6.6428691595565631E-4</v>
      </c>
    </row>
    <row r="15" spans="1:14" x14ac:dyDescent="0.3">
      <c r="A15" s="5" t="s">
        <v>21</v>
      </c>
      <c r="B15" s="7">
        <v>698</v>
      </c>
      <c r="C15">
        <v>70.86</v>
      </c>
      <c r="D15" s="33">
        <f t="shared" si="3"/>
        <v>5021.1395999999995</v>
      </c>
      <c r="E15">
        <v>0.215</v>
      </c>
      <c r="F15">
        <f t="shared" si="0"/>
        <v>0.78500000000000003</v>
      </c>
      <c r="G15">
        <f t="shared" si="1"/>
        <v>8.3706547238217105E-2</v>
      </c>
      <c r="H15">
        <f t="shared" si="4"/>
        <v>4.6025214960173019E-3</v>
      </c>
      <c r="I15">
        <f t="shared" si="5"/>
        <v>11.308899497635958</v>
      </c>
      <c r="J15">
        <f t="shared" si="6"/>
        <v>2.2344626896695075E-2</v>
      </c>
      <c r="K15">
        <v>1999</v>
      </c>
      <c r="L15" s="8">
        <f t="shared" si="2"/>
        <v>4.3568799991280096E-3</v>
      </c>
      <c r="M15" s="57">
        <f t="shared" si="7"/>
        <v>2.3759557278083794E-3</v>
      </c>
    </row>
    <row r="16" spans="1:14" x14ac:dyDescent="0.3">
      <c r="A16" s="5" t="s">
        <v>22</v>
      </c>
      <c r="B16" s="7">
        <f>384*2</f>
        <v>768</v>
      </c>
      <c r="C16">
        <v>17.8</v>
      </c>
      <c r="D16" s="33">
        <f t="shared" si="3"/>
        <v>316.84000000000003</v>
      </c>
      <c r="E16">
        <v>0.495</v>
      </c>
      <c r="F16">
        <f t="shared" si="0"/>
        <v>0.505</v>
      </c>
      <c r="G16">
        <f t="shared" si="1"/>
        <v>5.3849434847515462E-2</v>
      </c>
      <c r="H16">
        <f t="shared" si="4"/>
        <v>5.0640924196866596E-3</v>
      </c>
      <c r="I16">
        <f t="shared" si="5"/>
        <v>179.21841655094053</v>
      </c>
      <c r="J16">
        <f t="shared" si="6"/>
        <v>5.1444606110995633E-2</v>
      </c>
      <c r="K16">
        <v>2000</v>
      </c>
      <c r="L16" s="8">
        <f t="shared" si="2"/>
        <v>4.8872596021065404E-2</v>
      </c>
      <c r="M16" s="57">
        <f t="shared" si="7"/>
        <v>2.6651898714758166E-2</v>
      </c>
    </row>
    <row r="17" spans="1:13" x14ac:dyDescent="0.3">
      <c r="A17" s="5" t="s">
        <v>23</v>
      </c>
      <c r="B17" s="7">
        <f>8*2</f>
        <v>16</v>
      </c>
      <c r="C17">
        <v>45.6</v>
      </c>
      <c r="D17" s="33">
        <f t="shared" si="3"/>
        <v>2079.36</v>
      </c>
      <c r="E17">
        <v>0.54500000000000004</v>
      </c>
      <c r="F17">
        <f t="shared" si="0"/>
        <v>0.45499999999999996</v>
      </c>
      <c r="G17">
        <f t="shared" si="1"/>
        <v>4.8517807634890164E-2</v>
      </c>
      <c r="H17">
        <f t="shared" si="4"/>
        <v>1.0550192541013873E-4</v>
      </c>
      <c r="I17">
        <f t="shared" si="5"/>
        <v>27.308192472683903</v>
      </c>
      <c r="J17">
        <f t="shared" si="6"/>
        <v>5.6641030970692167E-2</v>
      </c>
      <c r="K17">
        <v>2002</v>
      </c>
      <c r="L17" s="8">
        <f t="shared" si="2"/>
        <v>1.3978304892612049E-4</v>
      </c>
      <c r="M17" s="57">
        <f t="shared" si="7"/>
        <v>7.6228479052212927E-5</v>
      </c>
    </row>
    <row r="18" spans="1:13" x14ac:dyDescent="0.3">
      <c r="A18" s="5" t="s">
        <v>24</v>
      </c>
      <c r="B18" s="7">
        <f>(234*2)+(554*2)</f>
        <v>1576</v>
      </c>
      <c r="C18">
        <v>47.94</v>
      </c>
      <c r="D18" s="33">
        <f t="shared" si="3"/>
        <v>2298.2435999999998</v>
      </c>
      <c r="E18">
        <v>0.54900000000000004</v>
      </c>
      <c r="F18">
        <f t="shared" si="0"/>
        <v>0.45099999999999996</v>
      </c>
      <c r="G18">
        <f t="shared" si="1"/>
        <v>4.8091277457880138E-2</v>
      </c>
      <c r="H18">
        <f t="shared" si="4"/>
        <v>1.0391939652898665E-2</v>
      </c>
      <c r="I18">
        <f t="shared" si="5"/>
        <v>24.707373535163988</v>
      </c>
      <c r="J18">
        <f t="shared" si="6"/>
        <v>5.7056744959467894E-2</v>
      </c>
      <c r="K18">
        <v>1999</v>
      </c>
      <c r="L18" s="8">
        <f t="shared" si="2"/>
        <v>1.2347797843498765E-2</v>
      </c>
      <c r="M18" s="57">
        <f t="shared" si="7"/>
        <v>6.7336766259232629E-3</v>
      </c>
    </row>
    <row r="19" spans="1:13" x14ac:dyDescent="0.3">
      <c r="A19" s="5" t="s">
        <v>25</v>
      </c>
      <c r="B19" s="49">
        <f>1*2</f>
        <v>2</v>
      </c>
      <c r="C19">
        <v>58.09</v>
      </c>
      <c r="D19" s="33">
        <f t="shared" si="3"/>
        <v>3374.4481000000005</v>
      </c>
      <c r="E19">
        <v>0.56299999999999994</v>
      </c>
      <c r="F19">
        <f t="shared" si="0"/>
        <v>0.43700000000000006</v>
      </c>
      <c r="G19">
        <f t="shared" si="1"/>
        <v>4.6598421838345068E-2</v>
      </c>
      <c r="H19">
        <f t="shared" si="4"/>
        <v>1.3187740676267341E-5</v>
      </c>
      <c r="I19">
        <f t="shared" si="5"/>
        <v>16.827511171382366</v>
      </c>
      <c r="J19">
        <f t="shared" si="6"/>
        <v>5.8511743920182907E-2</v>
      </c>
      <c r="K19">
        <v>2000</v>
      </c>
      <c r="L19" s="8">
        <f t="shared" si="2"/>
        <v>1.0340975155002633E-5</v>
      </c>
      <c r="M19" s="57">
        <f t="shared" si="7"/>
        <v>5.639287553379954E-6</v>
      </c>
    </row>
    <row r="20" spans="1:13" x14ac:dyDescent="0.3">
      <c r="A20" s="5" t="s">
        <v>26</v>
      </c>
      <c r="B20" s="49">
        <f>(493*2)+(405*2)+(3098*2)+(1810*2)</f>
        <v>11612</v>
      </c>
      <c r="C20">
        <v>38.89</v>
      </c>
      <c r="D20" s="33">
        <f t="shared" si="3"/>
        <v>1512.4321</v>
      </c>
      <c r="E20">
        <v>0.53300000000000003</v>
      </c>
      <c r="F20">
        <f t="shared" si="0"/>
        <v>0.46699999999999997</v>
      </c>
      <c r="G20">
        <f t="shared" si="1"/>
        <v>4.9797398165920236E-2</v>
      </c>
      <c r="H20">
        <f t="shared" si="4"/>
        <v>7.6568022366408181E-2</v>
      </c>
      <c r="I20">
        <f t="shared" si="5"/>
        <v>37.544537106822851</v>
      </c>
      <c r="J20">
        <f t="shared" si="6"/>
        <v>5.5393889004365003E-2</v>
      </c>
      <c r="K20">
        <v>1999</v>
      </c>
      <c r="L20" s="8">
        <f t="shared" si="2"/>
        <v>0.14315312613425915</v>
      </c>
      <c r="M20" s="57">
        <f t="shared" si="7"/>
        <v>7.8066297456079015E-2</v>
      </c>
    </row>
    <row r="21" spans="1:13" x14ac:dyDescent="0.3">
      <c r="A21" s="5" t="s">
        <v>27</v>
      </c>
      <c r="B21" s="49">
        <f>2308*2</f>
        <v>4616</v>
      </c>
      <c r="C21">
        <v>15.81</v>
      </c>
      <c r="D21" s="33">
        <f t="shared" si="3"/>
        <v>249.95610000000002</v>
      </c>
      <c r="E21">
        <v>0.49099999999999999</v>
      </c>
      <c r="F21">
        <f t="shared" si="0"/>
        <v>0.50900000000000001</v>
      </c>
      <c r="G21">
        <f t="shared" si="1"/>
        <v>5.4275965024525488E-2</v>
      </c>
      <c r="H21">
        <f t="shared" si="4"/>
        <v>3.0437305480825023E-2</v>
      </c>
      <c r="I21">
        <f t="shared" si="5"/>
        <v>227.17414417971796</v>
      </c>
      <c r="J21">
        <f t="shared" si="6"/>
        <v>5.1028892122219914E-2</v>
      </c>
      <c r="K21">
        <v>2000</v>
      </c>
      <c r="L21" s="8">
        <f t="shared" si="2"/>
        <v>0.37529489563715285</v>
      </c>
      <c r="M21" s="57">
        <f t="shared" si="7"/>
        <v>0.20466114675749708</v>
      </c>
    </row>
    <row r="22" spans="1:13" x14ac:dyDescent="0.3">
      <c r="A22" s="37" t="s">
        <v>38</v>
      </c>
      <c r="B22" s="38">
        <f>SUM(B7:B21)</f>
        <v>41836</v>
      </c>
      <c r="C22" s="37"/>
      <c r="D22" s="39"/>
      <c r="E22" s="37"/>
      <c r="F22" s="37"/>
      <c r="G22" s="37"/>
      <c r="H22" s="37"/>
      <c r="I22" s="37"/>
      <c r="J22" s="37"/>
      <c r="K22" s="37"/>
      <c r="L22" s="37"/>
      <c r="M22" s="59">
        <f>SUM(M7:M21)</f>
        <v>0.4346378128968057</v>
      </c>
    </row>
    <row r="23" spans="1:13" x14ac:dyDescent="0.3">
      <c r="A23" s="14" t="s">
        <v>28</v>
      </c>
      <c r="B23" s="7">
        <f>SUM(B6,B22)</f>
        <v>151656</v>
      </c>
      <c r="C23">
        <f>SUM(C2:C5,C7:C21)</f>
        <v>968.14999999999986</v>
      </c>
      <c r="D23">
        <f t="shared" ref="D23:J23" si="8">SUM(D2:D5,D7:D21)</f>
        <v>56783.563100000007</v>
      </c>
      <c r="E23">
        <f t="shared" si="8"/>
        <v>9.6219999999999999</v>
      </c>
      <c r="F23">
        <f t="shared" si="8"/>
        <v>9.3780000000000001</v>
      </c>
      <c r="G23">
        <f t="shared" si="8"/>
        <v>0.99999999999999989</v>
      </c>
      <c r="H23">
        <f t="shared" si="8"/>
        <v>1</v>
      </c>
      <c r="I23">
        <f t="shared" si="8"/>
        <v>828.28105578874101</v>
      </c>
      <c r="J23">
        <f t="shared" si="8"/>
        <v>1</v>
      </c>
      <c r="L23" s="8">
        <f>SUM(L2:L5,L7:L21)</f>
        <v>1.8337378715161781</v>
      </c>
      <c r="M23" s="15">
        <f>SUM(M6,M22)</f>
        <v>1.0000000000000004</v>
      </c>
    </row>
    <row r="25" spans="1:13" x14ac:dyDescent="0.3">
      <c r="A25" s="6"/>
    </row>
    <row r="26" spans="1:13" x14ac:dyDescent="0.3">
      <c r="A26" s="48" t="s">
        <v>57</v>
      </c>
    </row>
    <row r="27" spans="1:13" x14ac:dyDescent="0.3">
      <c r="A27" t="s">
        <v>55</v>
      </c>
    </row>
    <row r="28" spans="1:13" x14ac:dyDescent="0.3">
      <c r="A28" t="s">
        <v>56</v>
      </c>
    </row>
    <row r="31" spans="1:13" x14ac:dyDescent="0.3">
      <c r="A31" t="s">
        <v>63</v>
      </c>
    </row>
    <row r="32" spans="1:13" x14ac:dyDescent="0.3">
      <c r="A32" t="s">
        <v>68</v>
      </c>
      <c r="B32" t="s">
        <v>67</v>
      </c>
    </row>
    <row r="33" spans="1:14" x14ac:dyDescent="0.3">
      <c r="A33" s="3" t="s">
        <v>12</v>
      </c>
      <c r="B33" s="7">
        <v>22964</v>
      </c>
      <c r="C33">
        <v>96.02</v>
      </c>
      <c r="D33" s="33">
        <f>C33*C33</f>
        <v>9219.8403999999991</v>
      </c>
      <c r="E33">
        <v>0.71899999999999997</v>
      </c>
      <c r="F33">
        <f>1-E33</f>
        <v>0.28100000000000003</v>
      </c>
      <c r="G33" s="8">
        <f>F33/F$38</f>
        <v>0.16233391103408434</v>
      </c>
      <c r="H33">
        <f>B33/$B$38</f>
        <v>0.39397474608838867</v>
      </c>
      <c r="I33" s="8">
        <f>$D$38/D33</f>
        <v>1.5889889916098765</v>
      </c>
      <c r="J33" s="8">
        <f>E33/$E$38</f>
        <v>0.31687968267959449</v>
      </c>
      <c r="K33">
        <v>2001</v>
      </c>
      <c r="L33" s="8">
        <f>H33*I33*G33</f>
        <v>0.10162452408803904</v>
      </c>
      <c r="M33" s="4">
        <f>L33/$L$38</f>
        <v>5.0526837449248366E-2</v>
      </c>
      <c r="N33">
        <f>M33*M$6</f>
        <v>2.8565963327714657E-2</v>
      </c>
    </row>
    <row r="34" spans="1:14" x14ac:dyDescent="0.3">
      <c r="A34" s="3" t="s">
        <v>10</v>
      </c>
      <c r="B34" s="7">
        <v>9326</v>
      </c>
      <c r="C34">
        <v>33.22</v>
      </c>
      <c r="D34" s="33">
        <f>C34*C34</f>
        <v>1103.5683999999999</v>
      </c>
      <c r="E34">
        <v>0.45400000000000001</v>
      </c>
      <c r="F34">
        <f t="shared" ref="F34:F36" si="9">1-E34</f>
        <v>0.54600000000000004</v>
      </c>
      <c r="G34" s="8">
        <f t="shared" ref="G34:G36" si="10">F34/F$38</f>
        <v>0.31542461005199307</v>
      </c>
      <c r="H34">
        <f t="shared" ref="H34:H36" si="11">B34/$B$38</f>
        <v>0.15999862750480373</v>
      </c>
      <c r="I34" s="8">
        <f t="shared" ref="I34:I36" si="12">$D$38/D34</f>
        <v>13.27532113097838</v>
      </c>
      <c r="J34" s="8">
        <f>E34/$E$38</f>
        <v>0.20008814455707361</v>
      </c>
      <c r="K34">
        <v>2001</v>
      </c>
      <c r="L34" s="8">
        <f t="shared" ref="L34:L36" si="13">H34*I34*G34</f>
        <v>0.66997233143302393</v>
      </c>
      <c r="M34" s="4">
        <f t="shared" ref="M34:M36" si="14">L34/$L$38</f>
        <v>0.33310446852852321</v>
      </c>
      <c r="N34">
        <f t="shared" ref="N34:N36" si="15">M34*M$6</f>
        <v>0.18832467086113314</v>
      </c>
    </row>
    <row r="35" spans="1:14" x14ac:dyDescent="0.3">
      <c r="A35" s="3" t="s">
        <v>9</v>
      </c>
      <c r="B35" s="7">
        <v>19330</v>
      </c>
      <c r="C35">
        <v>34</v>
      </c>
      <c r="D35" s="33">
        <f>C35*C35</f>
        <v>1156</v>
      </c>
      <c r="E35">
        <v>0.54600000000000004</v>
      </c>
      <c r="F35">
        <f t="shared" si="9"/>
        <v>0.45399999999999996</v>
      </c>
      <c r="G35" s="8">
        <f t="shared" si="10"/>
        <v>0.26227614095898322</v>
      </c>
      <c r="H35">
        <f t="shared" si="11"/>
        <v>0.3316291517979687</v>
      </c>
      <c r="I35" s="8">
        <f t="shared" si="12"/>
        <v>12.673204930795848</v>
      </c>
      <c r="J35" s="8">
        <f t="shared" ref="J35:J36" si="16">E35/$E$38</f>
        <v>0.24063464081092992</v>
      </c>
      <c r="K35">
        <v>2000</v>
      </c>
      <c r="L35" s="8">
        <f t="shared" si="13"/>
        <v>1.1022952672442485</v>
      </c>
      <c r="M35" s="4">
        <f t="shared" si="14"/>
        <v>0.54805170591378105</v>
      </c>
      <c r="N35">
        <f t="shared" si="15"/>
        <v>0.30984771110105208</v>
      </c>
    </row>
    <row r="36" spans="1:14" x14ac:dyDescent="0.3">
      <c r="A36" s="3" t="s">
        <v>11</v>
      </c>
      <c r="B36" s="7">
        <v>6668</v>
      </c>
      <c r="C36">
        <v>56.31</v>
      </c>
      <c r="D36" s="33">
        <f>C36*C36</f>
        <v>3170.8161000000005</v>
      </c>
      <c r="E36">
        <v>0.55000000000000004</v>
      </c>
      <c r="F36">
        <f t="shared" si="9"/>
        <v>0.44999999999999996</v>
      </c>
      <c r="G36" s="8">
        <f t="shared" si="10"/>
        <v>0.25996533795493931</v>
      </c>
      <c r="H36">
        <f t="shared" si="11"/>
        <v>0.11439747460883887</v>
      </c>
      <c r="I36" s="8">
        <f t="shared" si="12"/>
        <v>4.6203325699021134</v>
      </c>
      <c r="J36" s="8">
        <f t="shared" si="16"/>
        <v>0.24239753195240193</v>
      </c>
      <c r="K36">
        <v>2000</v>
      </c>
      <c r="L36" s="8">
        <f t="shared" si="13"/>
        <v>0.13740581746527769</v>
      </c>
      <c r="M36" s="4">
        <f t="shared" si="14"/>
        <v>6.8316988108447288E-2</v>
      </c>
      <c r="N36">
        <f t="shared" si="15"/>
        <v>3.8623841813294701E-2</v>
      </c>
    </row>
    <row r="38" spans="1:14" x14ac:dyDescent="0.3">
      <c r="A38" s="3" t="s">
        <v>69</v>
      </c>
      <c r="B38" s="111">
        <f>SUM(B33:B36)</f>
        <v>58288</v>
      </c>
      <c r="C38" s="111">
        <f t="shared" ref="C38:M38" si="17">SUM(C33:C36)</f>
        <v>219.55</v>
      </c>
      <c r="D38" s="111">
        <f t="shared" si="17"/>
        <v>14650.224899999999</v>
      </c>
      <c r="E38" s="111">
        <f t="shared" si="17"/>
        <v>2.2690000000000001</v>
      </c>
      <c r="F38" s="111">
        <f t="shared" si="17"/>
        <v>1.7310000000000001</v>
      </c>
      <c r="G38" s="111">
        <f t="shared" si="17"/>
        <v>1</v>
      </c>
      <c r="H38" s="111">
        <f t="shared" si="17"/>
        <v>1</v>
      </c>
      <c r="I38" s="111">
        <f t="shared" si="17"/>
        <v>32.157847623286216</v>
      </c>
      <c r="J38" s="111">
        <f t="shared" si="17"/>
        <v>1</v>
      </c>
      <c r="K38" s="111">
        <f t="shared" si="17"/>
        <v>8002</v>
      </c>
      <c r="L38" s="111">
        <f t="shared" si="17"/>
        <v>2.0112979402305893</v>
      </c>
      <c r="M38" s="112">
        <f t="shared" si="17"/>
        <v>1</v>
      </c>
      <c r="N38" s="112">
        <f>SUM(N33:N36)</f>
        <v>0.56536218710319464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pane ySplit="1" topLeftCell="A29" activePane="bottomLeft" state="frozen"/>
      <selection pane="bottomLeft" activeCell="B2" sqref="B2:B5"/>
    </sheetView>
  </sheetViews>
  <sheetFormatPr defaultColWidth="8.88671875" defaultRowHeight="14.4" x14ac:dyDescent="0.3"/>
  <cols>
    <col min="1" max="1" width="30.6640625" bestFit="1" customWidth="1"/>
    <col min="2" max="2" width="11.88671875" customWidth="1"/>
    <col min="3" max="3" width="11.44140625" customWidth="1"/>
    <col min="4" max="4" width="12" customWidth="1"/>
    <col min="5" max="8" width="9.109375" customWidth="1"/>
    <col min="9" max="10" width="10" customWidth="1"/>
    <col min="11" max="11" width="9.109375" customWidth="1"/>
    <col min="12" max="12" width="11.44140625" customWidth="1"/>
    <col min="13" max="14" width="9.109375" customWidth="1"/>
    <col min="15" max="15" width="30.6640625" bestFit="1" customWidth="1"/>
  </cols>
  <sheetData>
    <row r="1" spans="1:14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65</v>
      </c>
      <c r="G1" s="1" t="s">
        <v>74</v>
      </c>
      <c r="H1" s="1" t="s">
        <v>5</v>
      </c>
      <c r="I1" s="1" t="s">
        <v>6</v>
      </c>
      <c r="J1" s="1" t="s">
        <v>7</v>
      </c>
      <c r="K1" s="1" t="s">
        <v>52</v>
      </c>
      <c r="L1" s="1" t="s">
        <v>8</v>
      </c>
      <c r="M1" s="2" t="s">
        <v>72</v>
      </c>
      <c r="N1" s="1" t="s">
        <v>73</v>
      </c>
    </row>
    <row r="2" spans="1:14" x14ac:dyDescent="0.3">
      <c r="A2" s="3" t="s">
        <v>12</v>
      </c>
      <c r="B2" s="7">
        <v>28182</v>
      </c>
      <c r="C2">
        <v>125.12</v>
      </c>
      <c r="D2">
        <f>C2*C2</f>
        <v>15655.014400000002</v>
      </c>
      <c r="E2">
        <v>0.71899999999999997</v>
      </c>
      <c r="F2">
        <f>1-E2</f>
        <v>0.28100000000000003</v>
      </c>
      <c r="G2">
        <f>F2/F$24</f>
        <v>3.1163358101364089E-2</v>
      </c>
      <c r="H2">
        <f>B2/$B$24</f>
        <v>0.17651922281934684</v>
      </c>
      <c r="I2">
        <f>$D$24/D2</f>
        <v>5.1235477432713186</v>
      </c>
      <c r="J2">
        <f>E2/$E$24</f>
        <v>6.5464809250660116E-2</v>
      </c>
      <c r="K2">
        <v>2001</v>
      </c>
      <c r="L2">
        <f>H2*I2*G2</f>
        <v>2.8184286466379074E-2</v>
      </c>
      <c r="M2" s="50">
        <f>L2/$L$24</f>
        <v>9.8683007797662429E-3</v>
      </c>
    </row>
    <row r="3" spans="1:14" x14ac:dyDescent="0.3">
      <c r="A3" s="3" t="s">
        <v>10</v>
      </c>
      <c r="B3" s="7">
        <v>11594</v>
      </c>
      <c r="C3">
        <v>16.100000000000001</v>
      </c>
      <c r="D3">
        <f>C3*C3</f>
        <v>259.21000000000004</v>
      </c>
      <c r="E3">
        <v>0.45400000000000001</v>
      </c>
      <c r="F3">
        <f t="shared" ref="F3:F22" si="0">1-E3</f>
        <v>0.54600000000000004</v>
      </c>
      <c r="G3">
        <f t="shared" ref="G3:G22" si="1">F3/F$24</f>
        <v>6.0552290118664739E-2</v>
      </c>
      <c r="H3">
        <f>B3/$B$24</f>
        <v>7.2619539754719575E-2</v>
      </c>
      <c r="I3">
        <f>$D$24/D3</f>
        <v>309.43718876586553</v>
      </c>
      <c r="J3">
        <f>E3/$E$24</f>
        <v>4.1336611126286081E-2</v>
      </c>
      <c r="K3">
        <v>2001</v>
      </c>
      <c r="L3">
        <f t="shared" ref="L3:L5" si="2">H3*I3*G3</f>
        <v>1.3606817879804374</v>
      </c>
      <c r="M3" s="4">
        <f>L3/$L$24</f>
        <v>0.47642210723903999</v>
      </c>
    </row>
    <row r="4" spans="1:14" x14ac:dyDescent="0.3">
      <c r="A4" s="3" t="s">
        <v>9</v>
      </c>
      <c r="B4" s="7">
        <v>37600</v>
      </c>
      <c r="C4">
        <v>62.75</v>
      </c>
      <c r="D4">
        <f>C4*C4</f>
        <v>3937.5625</v>
      </c>
      <c r="E4">
        <v>0.54600000000000004</v>
      </c>
      <c r="F4">
        <f t="shared" si="0"/>
        <v>0.45399999999999996</v>
      </c>
      <c r="G4">
        <f t="shared" si="1"/>
        <v>5.0349340135299979E-2</v>
      </c>
      <c r="H4">
        <f>B4/$B$24</f>
        <v>0.23550928883711025</v>
      </c>
      <c r="I4">
        <f>$D$24/D4</f>
        <v>20.370270617926703</v>
      </c>
      <c r="J4">
        <f>E4/$E$24</f>
        <v>4.9713193116634809E-2</v>
      </c>
      <c r="K4">
        <v>2000</v>
      </c>
      <c r="L4">
        <f t="shared" si="2"/>
        <v>0.2415453174867383</v>
      </c>
      <c r="M4" s="51">
        <f>L4/$L$24</f>
        <v>8.4573432353758582E-2</v>
      </c>
    </row>
    <row r="5" spans="1:14" x14ac:dyDescent="0.3">
      <c r="A5" s="3" t="s">
        <v>11</v>
      </c>
      <c r="B5" s="7">
        <v>32444</v>
      </c>
      <c r="C5">
        <v>32.880000000000003</v>
      </c>
      <c r="D5">
        <f>C5*C5</f>
        <v>1081.0944000000002</v>
      </c>
      <c r="E5">
        <v>0.55000000000000004</v>
      </c>
      <c r="F5">
        <f t="shared" si="0"/>
        <v>0.44999999999999996</v>
      </c>
      <c r="G5">
        <f t="shared" si="1"/>
        <v>4.9905733614284117E-2</v>
      </c>
      <c r="H5">
        <f>B5/$B$24</f>
        <v>0.20321445125082993</v>
      </c>
      <c r="I5">
        <f>$D$24/D5</f>
        <v>74.192608619561796</v>
      </c>
      <c r="J5">
        <f>E5/$E$24</f>
        <v>5.0077392333606495E-2</v>
      </c>
      <c r="K5">
        <v>2000</v>
      </c>
      <c r="L5">
        <f t="shared" si="2"/>
        <v>0.75242925711115993</v>
      </c>
      <c r="M5" s="50">
        <f>L5/$L$24</f>
        <v>0.26345170148360808</v>
      </c>
    </row>
    <row r="6" spans="1:14" x14ac:dyDescent="0.3">
      <c r="A6" s="34" t="s">
        <v>53</v>
      </c>
      <c r="B6" s="35">
        <f>SUM(B2:B5)</f>
        <v>109820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52">
        <f>SUM(M2:M5)</f>
        <v>0.83431554185617285</v>
      </c>
    </row>
    <row r="7" spans="1:14" x14ac:dyDescent="0.3">
      <c r="A7" s="5" t="s">
        <v>13</v>
      </c>
      <c r="B7" s="7">
        <f>(1060*2)+(467*2)</f>
        <v>3054</v>
      </c>
      <c r="C7">
        <v>47.64</v>
      </c>
      <c r="D7">
        <f t="shared" ref="D7:D22" si="3">C7*C7</f>
        <v>2269.5696000000003</v>
      </c>
      <c r="E7">
        <v>0.56499999999999995</v>
      </c>
      <c r="F7">
        <f t="shared" si="0"/>
        <v>0.43500000000000005</v>
      </c>
      <c r="G7">
        <f t="shared" si="1"/>
        <v>4.8242209160474656E-2</v>
      </c>
      <c r="H7">
        <f t="shared" ref="H7:H22" si="4">B7/$B$24</f>
        <v>1.9128866173099328E-2</v>
      </c>
      <c r="I7">
        <f t="shared" ref="I7:I22" si="5">$D$24/D7</f>
        <v>35.341156182211819</v>
      </c>
      <c r="J7">
        <f t="shared" ref="J7:J22" si="6">E7/$E$24</f>
        <v>5.1443139397250294E-2</v>
      </c>
      <c r="K7">
        <v>2000</v>
      </c>
      <c r="L7">
        <f t="shared" ref="L7:L22" si="7">H7*I7*J7</f>
        <v>3.4777426892639032E-2</v>
      </c>
      <c r="M7" s="56">
        <f t="shared" ref="M7:M21" si="8">L7/$L$24</f>
        <v>1.2176788982481007E-2</v>
      </c>
    </row>
    <row r="8" spans="1:14" x14ac:dyDescent="0.3">
      <c r="A8" s="5" t="s">
        <v>14</v>
      </c>
      <c r="B8" s="7">
        <f>450*2</f>
        <v>900</v>
      </c>
      <c r="C8">
        <v>78.08</v>
      </c>
      <c r="D8">
        <f t="shared" si="3"/>
        <v>6096.4863999999998</v>
      </c>
      <c r="E8">
        <v>0.55400000000000005</v>
      </c>
      <c r="F8">
        <f t="shared" si="0"/>
        <v>0.44599999999999995</v>
      </c>
      <c r="G8">
        <f t="shared" si="1"/>
        <v>4.9462127093268256E-2</v>
      </c>
      <c r="H8">
        <f t="shared" si="4"/>
        <v>5.6371904242925328E-3</v>
      </c>
      <c r="I8">
        <f t="shared" si="5"/>
        <v>13.156629644904974</v>
      </c>
      <c r="J8">
        <f t="shared" si="6"/>
        <v>5.0441591550578174E-2</v>
      </c>
      <c r="K8">
        <v>1999</v>
      </c>
      <c r="L8">
        <f t="shared" si="7"/>
        <v>3.7410725998563935E-3</v>
      </c>
      <c r="M8" s="57">
        <f t="shared" si="8"/>
        <v>1.309879875737296E-3</v>
      </c>
    </row>
    <row r="9" spans="1:14" x14ac:dyDescent="0.3">
      <c r="A9" s="5" t="s">
        <v>15</v>
      </c>
      <c r="B9" s="7">
        <f>(148*2)+(15*2)+(199*2)+(20*2)+(15*2)+(337*2)+(50*2)+(134*2)+(28*2)+(281*2)+(72*2)+(718*2)+(841*2)+(84*2)+(10*2)+(116*2)</f>
        <v>6136</v>
      </c>
      <c r="C9">
        <v>58.66</v>
      </c>
      <c r="D9">
        <f t="shared" si="3"/>
        <v>3440.9955999999997</v>
      </c>
      <c r="E9">
        <v>0.52900000000000003</v>
      </c>
      <c r="F9">
        <f t="shared" si="0"/>
        <v>0.47099999999999997</v>
      </c>
      <c r="G9">
        <f t="shared" si="1"/>
        <v>5.2234667849617382E-2</v>
      </c>
      <c r="H9">
        <f t="shared" si="4"/>
        <v>3.8433111603843315E-2</v>
      </c>
      <c r="I9">
        <f t="shared" si="5"/>
        <v>23.309885574977198</v>
      </c>
      <c r="J9">
        <f t="shared" si="6"/>
        <v>4.8165346444505153E-2</v>
      </c>
      <c r="K9">
        <v>1999</v>
      </c>
      <c r="L9">
        <f t="shared" si="7"/>
        <v>4.3149957977552549E-2</v>
      </c>
      <c r="M9" s="57">
        <f t="shared" si="8"/>
        <v>1.510830385806352E-2</v>
      </c>
    </row>
    <row r="10" spans="1:14" x14ac:dyDescent="0.3">
      <c r="A10" s="5" t="s">
        <v>16</v>
      </c>
      <c r="B10" s="49">
        <f>1060*2</f>
        <v>2120</v>
      </c>
      <c r="C10">
        <v>27.9</v>
      </c>
      <c r="D10">
        <f t="shared" si="3"/>
        <v>778.41</v>
      </c>
      <c r="E10">
        <v>0.42599999999999999</v>
      </c>
      <c r="F10">
        <f t="shared" si="0"/>
        <v>0.57400000000000007</v>
      </c>
      <c r="G10">
        <f t="shared" si="1"/>
        <v>6.365753576577575E-2</v>
      </c>
      <c r="H10">
        <f t="shared" si="4"/>
        <v>1.3278715221666855E-2</v>
      </c>
      <c r="I10">
        <f t="shared" si="5"/>
        <v>103.04237317095105</v>
      </c>
      <c r="J10">
        <f t="shared" si="6"/>
        <v>3.8787216607484298E-2</v>
      </c>
      <c r="K10">
        <v>2000</v>
      </c>
      <c r="L10">
        <f t="shared" si="7"/>
        <v>5.3071397632464726E-2</v>
      </c>
      <c r="M10" s="57">
        <f t="shared" si="8"/>
        <v>1.8582145596074781E-2</v>
      </c>
    </row>
    <row r="11" spans="1:14" x14ac:dyDescent="0.3">
      <c r="A11" s="5" t="s">
        <v>17</v>
      </c>
      <c r="B11" s="49">
        <f>(154*2)+(430*2)+(420*2)+(503*2)+(570*2)+(212*2)+(227*2)</f>
        <v>5032</v>
      </c>
      <c r="C11">
        <v>39.68</v>
      </c>
      <c r="D11">
        <f t="shared" si="3"/>
        <v>1574.5024000000001</v>
      </c>
      <c r="E11">
        <v>0.56799999999999995</v>
      </c>
      <c r="F11">
        <f t="shared" si="0"/>
        <v>0.43200000000000005</v>
      </c>
      <c r="G11">
        <f t="shared" si="1"/>
        <v>4.7909504269712765E-2</v>
      </c>
      <c r="H11">
        <f t="shared" si="4"/>
        <v>3.1518158016711137E-2</v>
      </c>
      <c r="I11">
        <f t="shared" si="5"/>
        <v>50.942579509564418</v>
      </c>
      <c r="J11">
        <f t="shared" si="6"/>
        <v>5.1716288809979062E-2</v>
      </c>
      <c r="K11">
        <v>2000</v>
      </c>
      <c r="L11">
        <f t="shared" si="7"/>
        <v>8.3036514776694076E-2</v>
      </c>
      <c r="M11" s="57">
        <f t="shared" si="8"/>
        <v>2.9073977249607343E-2</v>
      </c>
    </row>
    <row r="12" spans="1:14" x14ac:dyDescent="0.3">
      <c r="A12" s="5" t="s">
        <v>30</v>
      </c>
      <c r="B12" s="49">
        <f>2*5096</f>
        <v>10192</v>
      </c>
      <c r="C12">
        <v>72.42</v>
      </c>
      <c r="D12">
        <f t="shared" si="3"/>
        <v>5244.6563999999998</v>
      </c>
      <c r="E12">
        <v>0.63100000000000001</v>
      </c>
      <c r="F12">
        <f t="shared" si="0"/>
        <v>0.36899999999999999</v>
      </c>
      <c r="G12">
        <f t="shared" si="1"/>
        <v>4.0922701563712978E-2</v>
      </c>
      <c r="H12">
        <f t="shared" si="4"/>
        <v>6.383804978265499E-2</v>
      </c>
      <c r="I12">
        <f t="shared" si="5"/>
        <v>15.293511639771102</v>
      </c>
      <c r="J12">
        <f t="shared" si="6"/>
        <v>5.7452426477283082E-2</v>
      </c>
      <c r="K12">
        <v>2000</v>
      </c>
      <c r="L12">
        <f t="shared" si="7"/>
        <v>5.6091261142360349E-2</v>
      </c>
      <c r="M12" s="57">
        <f t="shared" si="8"/>
        <v>1.9639505038721663E-2</v>
      </c>
    </row>
    <row r="13" spans="1:14" x14ac:dyDescent="0.3">
      <c r="A13" s="5" t="s">
        <v>18</v>
      </c>
      <c r="B13" s="49">
        <f>(45*2)+(300*2)+(497*2)+(300*2)</f>
        <v>2284</v>
      </c>
      <c r="C13">
        <v>82.48</v>
      </c>
      <c r="D13">
        <f t="shared" si="3"/>
        <v>6802.9504000000006</v>
      </c>
      <c r="E13">
        <v>0.56999999999999995</v>
      </c>
      <c r="F13">
        <f t="shared" si="0"/>
        <v>0.43000000000000005</v>
      </c>
      <c r="G13">
        <f t="shared" si="1"/>
        <v>4.7687701009204837E-2</v>
      </c>
      <c r="H13">
        <f t="shared" si="4"/>
        <v>1.4305936587871271E-2</v>
      </c>
      <c r="I13">
        <f t="shared" si="5"/>
        <v>11.790356975114797</v>
      </c>
      <c r="J13">
        <f t="shared" si="6"/>
        <v>5.1898388418464898E-2</v>
      </c>
      <c r="K13">
        <v>1999</v>
      </c>
      <c r="L13">
        <f t="shared" si="7"/>
        <v>8.7538101214225689E-3</v>
      </c>
      <c r="M13" s="57">
        <f t="shared" si="8"/>
        <v>3.0650139520192778E-3</v>
      </c>
    </row>
    <row r="14" spans="1:14" x14ac:dyDescent="0.3">
      <c r="A14" s="5" t="s">
        <v>31</v>
      </c>
      <c r="B14" s="49">
        <f>2*349</f>
        <v>698</v>
      </c>
      <c r="C14">
        <v>55.93</v>
      </c>
      <c r="D14">
        <f t="shared" si="3"/>
        <v>3128.1648999999998</v>
      </c>
      <c r="E14">
        <v>0.56499999999999995</v>
      </c>
      <c r="F14">
        <f t="shared" si="0"/>
        <v>0.43500000000000005</v>
      </c>
      <c r="G14">
        <f t="shared" si="1"/>
        <v>4.8242209160474656E-2</v>
      </c>
      <c r="H14">
        <f t="shared" si="4"/>
        <v>4.3719543512846532E-3</v>
      </c>
      <c r="I14">
        <f t="shared" si="5"/>
        <v>25.640980019947161</v>
      </c>
      <c r="J14">
        <f t="shared" si="6"/>
        <v>5.1443139397250294E-2</v>
      </c>
      <c r="K14">
        <v>1999</v>
      </c>
      <c r="L14">
        <f t="shared" si="7"/>
        <v>5.7668373582552244E-3</v>
      </c>
      <c r="M14" s="57">
        <f t="shared" si="8"/>
        <v>2.0191707058875349E-3</v>
      </c>
    </row>
    <row r="15" spans="1:14" x14ac:dyDescent="0.3">
      <c r="A15" s="5" t="s">
        <v>32</v>
      </c>
      <c r="B15" s="49">
        <f>2*116</f>
        <v>232</v>
      </c>
      <c r="C15">
        <v>65.459999999999994</v>
      </c>
      <c r="D15">
        <f t="shared" si="3"/>
        <v>4285.0115999999989</v>
      </c>
      <c r="E15">
        <v>0.56499999999999995</v>
      </c>
      <c r="F15">
        <f t="shared" si="0"/>
        <v>0.43500000000000005</v>
      </c>
      <c r="G15">
        <f t="shared" si="1"/>
        <v>4.8242209160474656E-2</v>
      </c>
      <c r="H15">
        <f t="shared" si="4"/>
        <v>1.4531424204842973E-3</v>
      </c>
      <c r="I15">
        <f t="shared" si="5"/>
        <v>18.718552290500224</v>
      </c>
      <c r="J15">
        <f t="shared" si="6"/>
        <v>5.1443139397250294E-2</v>
      </c>
      <c r="K15">
        <v>1999</v>
      </c>
      <c r="L15">
        <f t="shared" si="7"/>
        <v>1.3992905532740918E-3</v>
      </c>
      <c r="M15" s="57">
        <f t="shared" si="8"/>
        <v>4.8994038129957646E-4</v>
      </c>
    </row>
    <row r="16" spans="1:14" x14ac:dyDescent="0.3">
      <c r="A16" s="5" t="s">
        <v>22</v>
      </c>
      <c r="B16" s="49">
        <f>384*2</f>
        <v>768</v>
      </c>
      <c r="C16">
        <v>38.75</v>
      </c>
      <c r="D16">
        <f t="shared" si="3"/>
        <v>1501.5625</v>
      </c>
      <c r="E16">
        <v>0.495</v>
      </c>
      <c r="F16">
        <f t="shared" si="0"/>
        <v>0.505</v>
      </c>
      <c r="G16">
        <f t="shared" si="1"/>
        <v>5.6005323278252181E-2</v>
      </c>
      <c r="H16">
        <f t="shared" si="4"/>
        <v>4.8104024953962944E-3</v>
      </c>
      <c r="I16">
        <f t="shared" si="5"/>
        <v>53.417166251821023</v>
      </c>
      <c r="J16">
        <f t="shared" si="6"/>
        <v>4.5069653100245841E-2</v>
      </c>
      <c r="K16">
        <v>2000</v>
      </c>
      <c r="L16">
        <f t="shared" si="7"/>
        <v>1.1581011068761313E-2</v>
      </c>
      <c r="M16" s="57">
        <f t="shared" si="8"/>
        <v>4.0549155181440824E-3</v>
      </c>
    </row>
    <row r="17" spans="1:14" x14ac:dyDescent="0.3">
      <c r="A17" s="5" t="s">
        <v>23</v>
      </c>
      <c r="B17" s="49">
        <f>8*2</f>
        <v>16</v>
      </c>
      <c r="C17">
        <v>74.42</v>
      </c>
      <c r="D17">
        <f t="shared" si="3"/>
        <v>5538.3364000000001</v>
      </c>
      <c r="E17">
        <v>0.54500000000000004</v>
      </c>
      <c r="F17">
        <f t="shared" si="0"/>
        <v>0.45499999999999996</v>
      </c>
      <c r="G17">
        <f t="shared" si="1"/>
        <v>5.0460241765553943E-2</v>
      </c>
      <c r="H17">
        <f t="shared" si="4"/>
        <v>1.0021671865408946E-4</v>
      </c>
      <c r="I17">
        <f t="shared" si="5"/>
        <v>14.482546365367044</v>
      </c>
      <c r="J17">
        <f t="shared" si="6"/>
        <v>4.9622143312391891E-2</v>
      </c>
      <c r="K17">
        <v>2002</v>
      </c>
      <c r="L17">
        <f t="shared" si="7"/>
        <v>7.2021245069523222E-5</v>
      </c>
      <c r="M17" s="57">
        <f t="shared" si="8"/>
        <v>2.5217147495542793E-5</v>
      </c>
    </row>
    <row r="18" spans="1:14" x14ac:dyDescent="0.3">
      <c r="A18" s="5" t="s">
        <v>24</v>
      </c>
      <c r="B18" s="49">
        <f>(234*2)+(554*2)</f>
        <v>1576</v>
      </c>
      <c r="C18">
        <v>76.84</v>
      </c>
      <c r="D18">
        <f t="shared" si="3"/>
        <v>5904.3856000000005</v>
      </c>
      <c r="E18">
        <v>0.54900000000000004</v>
      </c>
      <c r="F18">
        <f t="shared" si="0"/>
        <v>0.45099999999999996</v>
      </c>
      <c r="G18">
        <f t="shared" si="1"/>
        <v>5.0016635244538081E-2</v>
      </c>
      <c r="H18">
        <f t="shared" si="4"/>
        <v>9.8713467874278118E-3</v>
      </c>
      <c r="I18">
        <f t="shared" si="5"/>
        <v>13.58468418797038</v>
      </c>
      <c r="J18">
        <f t="shared" si="6"/>
        <v>4.998634252936357E-2</v>
      </c>
      <c r="K18">
        <v>1999</v>
      </c>
      <c r="L18">
        <f t="shared" si="7"/>
        <v>6.7031249759456806E-3</v>
      </c>
      <c r="M18" s="57">
        <f t="shared" si="8"/>
        <v>2.3469976259964422E-3</v>
      </c>
    </row>
    <row r="19" spans="1:14" x14ac:dyDescent="0.3">
      <c r="A19" s="5" t="s">
        <v>33</v>
      </c>
      <c r="B19" s="49">
        <f>2*298</f>
        <v>596</v>
      </c>
      <c r="C19">
        <v>76.88</v>
      </c>
      <c r="D19">
        <f t="shared" si="3"/>
        <v>5910.5343999999996</v>
      </c>
      <c r="E19">
        <v>0.56499999999999995</v>
      </c>
      <c r="F19">
        <f t="shared" si="0"/>
        <v>0.43500000000000005</v>
      </c>
      <c r="G19">
        <f t="shared" si="1"/>
        <v>4.8242209160474656E-2</v>
      </c>
      <c r="H19">
        <f t="shared" si="4"/>
        <v>3.7330727698648325E-3</v>
      </c>
      <c r="I19">
        <f t="shared" si="5"/>
        <v>13.570551877677932</v>
      </c>
      <c r="J19">
        <f t="shared" si="6"/>
        <v>5.1443139397250294E-2</v>
      </c>
      <c r="K19">
        <v>2000</v>
      </c>
      <c r="L19">
        <f t="shared" si="7"/>
        <v>2.6061021208164999E-3</v>
      </c>
      <c r="M19" s="57">
        <f t="shared" si="8"/>
        <v>9.1248716272035446E-4</v>
      </c>
    </row>
    <row r="20" spans="1:14" x14ac:dyDescent="0.3">
      <c r="A20" s="5" t="s">
        <v>25</v>
      </c>
      <c r="B20" s="49">
        <f>1*2</f>
        <v>2</v>
      </c>
      <c r="C20">
        <v>34.71</v>
      </c>
      <c r="D20">
        <f t="shared" si="3"/>
        <v>1204.7841000000001</v>
      </c>
      <c r="E20">
        <v>0.56299999999999994</v>
      </c>
      <c r="F20">
        <f t="shared" si="0"/>
        <v>0.43700000000000006</v>
      </c>
      <c r="G20">
        <f t="shared" si="1"/>
        <v>4.846401242098259E-2</v>
      </c>
      <c r="H20">
        <f t="shared" si="4"/>
        <v>1.2527089831761183E-5</v>
      </c>
      <c r="I20">
        <f t="shared" si="5"/>
        <v>66.575591178535646</v>
      </c>
      <c r="J20">
        <f t="shared" si="6"/>
        <v>5.1261039788764458E-2</v>
      </c>
      <c r="K20">
        <v>2000</v>
      </c>
      <c r="L20">
        <f t="shared" si="7"/>
        <v>4.2751625745216932E-5</v>
      </c>
      <c r="M20" s="57">
        <f t="shared" si="8"/>
        <v>1.496883386354538E-5</v>
      </c>
    </row>
    <row r="21" spans="1:14" x14ac:dyDescent="0.3">
      <c r="A21" s="5" t="s">
        <v>26</v>
      </c>
      <c r="B21" s="49">
        <f>(493*2)+(405*2)+(3098*2)+(1810*2)</f>
        <v>11612</v>
      </c>
      <c r="C21">
        <v>67.55</v>
      </c>
      <c r="D21">
        <f t="shared" si="3"/>
        <v>4563.0024999999996</v>
      </c>
      <c r="E21">
        <v>0.53300000000000003</v>
      </c>
      <c r="F21">
        <f t="shared" si="0"/>
        <v>0.46699999999999997</v>
      </c>
      <c r="G21">
        <f t="shared" si="1"/>
        <v>5.179106132860152E-2</v>
      </c>
      <c r="H21">
        <f t="shared" si="4"/>
        <v>7.2732283563205435E-2</v>
      </c>
      <c r="I21">
        <f t="shared" si="5"/>
        <v>17.578165626689884</v>
      </c>
      <c r="J21">
        <f t="shared" si="6"/>
        <v>4.8529545661476839E-2</v>
      </c>
      <c r="K21">
        <v>1999</v>
      </c>
      <c r="L21">
        <f t="shared" si="7"/>
        <v>6.2045030285694802E-2</v>
      </c>
      <c r="M21" s="57">
        <f t="shared" si="8"/>
        <v>2.1724127076246099E-2</v>
      </c>
    </row>
    <row r="22" spans="1:14" x14ac:dyDescent="0.3">
      <c r="A22" s="5" t="s">
        <v>27</v>
      </c>
      <c r="B22" s="49">
        <f>2308*2</f>
        <v>4616</v>
      </c>
      <c r="C22">
        <v>32.14</v>
      </c>
      <c r="D22">
        <f t="shared" si="3"/>
        <v>1032.9796000000001</v>
      </c>
      <c r="E22">
        <v>0.49099999999999999</v>
      </c>
      <c r="F22">
        <f t="shared" si="0"/>
        <v>0.50900000000000001</v>
      </c>
      <c r="G22">
        <f t="shared" si="1"/>
        <v>5.6448929799268042E-2</v>
      </c>
      <c r="H22">
        <f t="shared" si="4"/>
        <v>2.8912523331704812E-2</v>
      </c>
      <c r="I22">
        <f t="shared" si="5"/>
        <v>77.648400510523146</v>
      </c>
      <c r="J22">
        <f t="shared" si="6"/>
        <v>4.4705453883274154E-2</v>
      </c>
      <c r="K22">
        <v>2000</v>
      </c>
      <c r="L22">
        <f t="shared" si="7"/>
        <v>0.10036424428591091</v>
      </c>
      <c r="M22" s="58">
        <f>L22/$L$24</f>
        <v>3.5141019139469008E-2</v>
      </c>
    </row>
    <row r="23" spans="1:14" x14ac:dyDescent="0.3">
      <c r="A23" s="37" t="s">
        <v>38</v>
      </c>
      <c r="B23" s="38">
        <f>SUM(B7:B22)</f>
        <v>49834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5">
        <f>SUM(M7:M22)</f>
        <v>0.16568445814382704</v>
      </c>
    </row>
    <row r="24" spans="1:14" x14ac:dyDescent="0.3">
      <c r="A24" t="s">
        <v>28</v>
      </c>
      <c r="B24" s="7">
        <f>B23+B6</f>
        <v>159654</v>
      </c>
      <c r="C24" s="13">
        <f>SUM(C2:C5,C7:C22)</f>
        <v>1166.3900000000001</v>
      </c>
      <c r="D24">
        <f>SUM(D2:D5,D7:D22)</f>
        <v>80209.213700000008</v>
      </c>
      <c r="E24">
        <f>SUM(E2:E5,E7:E22)</f>
        <v>10.982999999999999</v>
      </c>
      <c r="F24">
        <f>SUM(F2:F5,F7:F22)</f>
        <v>9.0170000000000012</v>
      </c>
      <c r="H24">
        <f>SUM(H2:H5,H7:H22)</f>
        <v>1.0000000000000002</v>
      </c>
      <c r="I24">
        <f>SUM(I2:I5,I7:I22)</f>
        <v>963.2167467531533</v>
      </c>
      <c r="J24">
        <f>SUM(J4:J22)</f>
        <v>0.89319857962305393</v>
      </c>
      <c r="L24" s="13">
        <f>SUM(L2:L5,L7:L22)</f>
        <v>2.8560425037071777</v>
      </c>
      <c r="M24" s="13">
        <f>M6+M23</f>
        <v>0.99999999999999989</v>
      </c>
    </row>
    <row r="25" spans="1:14" x14ac:dyDescent="0.3">
      <c r="B25" s="7"/>
      <c r="C25" s="13"/>
      <c r="L25" s="13"/>
      <c r="M25" s="13"/>
    </row>
    <row r="26" spans="1:14" x14ac:dyDescent="0.3">
      <c r="A26" s="6"/>
      <c r="B26" s="7"/>
      <c r="C26" s="13"/>
      <c r="L26" s="13"/>
      <c r="M26" s="13"/>
    </row>
    <row r="27" spans="1:14" x14ac:dyDescent="0.3">
      <c r="A27" s="6"/>
      <c r="B27" s="7"/>
      <c r="C27" s="13"/>
      <c r="L27" s="13"/>
      <c r="M27" s="13"/>
    </row>
    <row r="28" spans="1:14" x14ac:dyDescent="0.3">
      <c r="A28" s="48" t="s">
        <v>57</v>
      </c>
    </row>
    <row r="29" spans="1:14" x14ac:dyDescent="0.3">
      <c r="A29" t="s">
        <v>55</v>
      </c>
    </row>
    <row r="30" spans="1:14" x14ac:dyDescent="0.3">
      <c r="A30" t="s">
        <v>56</v>
      </c>
    </row>
    <row r="32" spans="1:14" x14ac:dyDescent="0.3">
      <c r="A32" s="3" t="s">
        <v>12</v>
      </c>
      <c r="B32" s="7">
        <v>22964</v>
      </c>
      <c r="C32">
        <v>125.12</v>
      </c>
      <c r="D32">
        <f>C32*C32</f>
        <v>15655.014400000002</v>
      </c>
      <c r="E32">
        <v>0.71899999999999997</v>
      </c>
      <c r="F32">
        <f>1-E32</f>
        <v>0.28100000000000003</v>
      </c>
      <c r="G32" s="8">
        <f>F2/F$37</f>
        <v>0.16233391103408434</v>
      </c>
      <c r="H32">
        <f>B32/$B$24</f>
        <v>0.14383604544828191</v>
      </c>
      <c r="I32" s="8">
        <f>$D$37/D32</f>
        <v>1.3371358700251341</v>
      </c>
      <c r="J32" s="8">
        <f>E32/$E$37</f>
        <v>0.31687968267959449</v>
      </c>
      <c r="K32">
        <v>2001</v>
      </c>
      <c r="L32">
        <f>H32*I32*G32</f>
        <v>3.1221410948458202E-2</v>
      </c>
      <c r="M32" s="50">
        <f>L32/$L$37</f>
        <v>1.6447745842933834E-2</v>
      </c>
      <c r="N32">
        <f>M32*M$6</f>
        <v>1.3722609985259955E-2</v>
      </c>
    </row>
    <row r="33" spans="1:14" x14ac:dyDescent="0.3">
      <c r="A33" s="3" t="s">
        <v>10</v>
      </c>
      <c r="B33" s="7">
        <v>9326</v>
      </c>
      <c r="C33">
        <v>16.100000000000001</v>
      </c>
      <c r="D33">
        <f>C33*C33</f>
        <v>259.21000000000004</v>
      </c>
      <c r="E33">
        <v>0.45400000000000001</v>
      </c>
      <c r="F33">
        <f t="shared" ref="F33:F35" si="9">1-E33</f>
        <v>0.54600000000000004</v>
      </c>
      <c r="G33" s="8">
        <f t="shared" ref="G33:G35" si="10">F3/F$37</f>
        <v>0.31542461005199307</v>
      </c>
      <c r="H33">
        <f>B33/$B$24</f>
        <v>5.8413819885502399E-2</v>
      </c>
      <c r="I33" s="8">
        <f t="shared" ref="I33:I35" si="11">$D$37/D33</f>
        <v>80.756457312603686</v>
      </c>
      <c r="J33" s="8">
        <f t="shared" ref="J33:J35" si="12">E33/$E$37</f>
        <v>0.20008814455707361</v>
      </c>
      <c r="K33">
        <v>2001</v>
      </c>
      <c r="L33">
        <f t="shared" ref="L33:L35" si="13">H33*I33*G33</f>
        <v>1.4879503529862124</v>
      </c>
      <c r="M33" s="50">
        <f t="shared" ref="M33:M35" si="14">L33/$L$37</f>
        <v>0.78386685576839588</v>
      </c>
      <c r="N33">
        <f t="shared" ref="N33:N35" si="15">M33*M$6</f>
        <v>0.65399230051350365</v>
      </c>
    </row>
    <row r="34" spans="1:14" x14ac:dyDescent="0.3">
      <c r="A34" s="3" t="s">
        <v>9</v>
      </c>
      <c r="B34" s="7">
        <v>19330</v>
      </c>
      <c r="C34">
        <v>62.75</v>
      </c>
      <c r="D34">
        <f>C34*C34</f>
        <v>3937.5625</v>
      </c>
      <c r="E34">
        <v>0.54600000000000004</v>
      </c>
      <c r="F34">
        <f t="shared" si="9"/>
        <v>0.45399999999999996</v>
      </c>
      <c r="G34" s="8">
        <f t="shared" si="10"/>
        <v>0.26227614095898322</v>
      </c>
      <c r="H34">
        <f>B34/$B$24</f>
        <v>0.12107432322397184</v>
      </c>
      <c r="I34" s="8">
        <f t="shared" si="11"/>
        <v>5.3162029301122216</v>
      </c>
      <c r="J34" s="8">
        <f t="shared" si="12"/>
        <v>0.24063464081092992</v>
      </c>
      <c r="K34">
        <v>2000</v>
      </c>
      <c r="L34">
        <f t="shared" si="13"/>
        <v>0.16881552572826311</v>
      </c>
      <c r="M34" s="50">
        <f t="shared" si="14"/>
        <v>8.8933676511402077E-2</v>
      </c>
      <c r="N34">
        <f t="shared" si="15"/>
        <v>7.4198748507872017E-2</v>
      </c>
    </row>
    <row r="35" spans="1:14" x14ac:dyDescent="0.3">
      <c r="A35" s="3" t="s">
        <v>11</v>
      </c>
      <c r="B35" s="7">
        <v>6668</v>
      </c>
      <c r="C35">
        <v>32.880000000000003</v>
      </c>
      <c r="D35">
        <f>C35*C35</f>
        <v>1081.0944000000002</v>
      </c>
      <c r="E35">
        <v>0.55000000000000004</v>
      </c>
      <c r="F35">
        <f t="shared" si="9"/>
        <v>0.44999999999999996</v>
      </c>
      <c r="G35" s="8">
        <f t="shared" si="10"/>
        <v>0.25996533795493931</v>
      </c>
      <c r="H35">
        <f>B35/$B$24</f>
        <v>4.1765317499091785E-2</v>
      </c>
      <c r="I35" s="8">
        <f t="shared" si="11"/>
        <v>19.362676654323622</v>
      </c>
      <c r="J35" s="8">
        <f t="shared" si="12"/>
        <v>0.24239753195240193</v>
      </c>
      <c r="K35">
        <v>2000</v>
      </c>
      <c r="L35">
        <f t="shared" si="13"/>
        <v>0.2102309371144051</v>
      </c>
      <c r="M35" s="50">
        <f t="shared" si="14"/>
        <v>0.11075172187726824</v>
      </c>
      <c r="N35">
        <f t="shared" si="15"/>
        <v>9.2401882849537209E-2</v>
      </c>
    </row>
    <row r="37" spans="1:14" x14ac:dyDescent="0.3">
      <c r="A37" s="3" t="s">
        <v>69</v>
      </c>
      <c r="B37" s="111">
        <f>SUM(B32:B35)</f>
        <v>58288</v>
      </c>
      <c r="C37" s="111">
        <f t="shared" ref="C37:M37" si="16">SUM(C32:C35)</f>
        <v>236.85</v>
      </c>
      <c r="D37" s="111">
        <f t="shared" si="16"/>
        <v>20932.881300000005</v>
      </c>
      <c r="E37" s="111">
        <f t="shared" si="16"/>
        <v>2.2690000000000001</v>
      </c>
      <c r="F37" s="111">
        <f t="shared" si="16"/>
        <v>1.7310000000000001</v>
      </c>
      <c r="G37" s="111">
        <f t="shared" si="16"/>
        <v>1</v>
      </c>
      <c r="H37" s="111">
        <f t="shared" si="16"/>
        <v>0.36508950605684792</v>
      </c>
      <c r="I37" s="111">
        <f t="shared" si="16"/>
        <v>106.77247276706467</v>
      </c>
      <c r="J37" s="111">
        <f t="shared" si="16"/>
        <v>1</v>
      </c>
      <c r="K37" s="111">
        <f t="shared" si="16"/>
        <v>8002</v>
      </c>
      <c r="L37" s="111">
        <f t="shared" si="16"/>
        <v>1.8982182267773386</v>
      </c>
      <c r="M37" s="111">
        <f t="shared" si="16"/>
        <v>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workbookViewId="0">
      <pane ySplit="1" topLeftCell="A29" activePane="bottomLeft" state="frozen"/>
      <selection pane="bottomLeft" activeCell="N31" sqref="N31"/>
    </sheetView>
  </sheetViews>
  <sheetFormatPr defaultColWidth="8.886718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12" max="12" width="10" bestFit="1" customWidth="1"/>
    <col min="13" max="13" width="11" bestFit="1" customWidth="1"/>
  </cols>
  <sheetData>
    <row r="1" spans="1:14" ht="5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65</v>
      </c>
      <c r="G1" s="1" t="s">
        <v>75</v>
      </c>
      <c r="H1" s="1" t="s">
        <v>5</v>
      </c>
      <c r="I1" s="1" t="s">
        <v>6</v>
      </c>
      <c r="J1" s="1" t="s">
        <v>7</v>
      </c>
      <c r="K1" s="1" t="s">
        <v>52</v>
      </c>
      <c r="L1" s="1" t="s">
        <v>8</v>
      </c>
      <c r="M1" s="2" t="s">
        <v>78</v>
      </c>
      <c r="N1" s="1" t="s">
        <v>77</v>
      </c>
    </row>
    <row r="2" spans="1:14" x14ac:dyDescent="0.3">
      <c r="A2" s="3" t="s">
        <v>12</v>
      </c>
      <c r="B2" s="7">
        <v>28182</v>
      </c>
      <c r="C2">
        <v>84.25</v>
      </c>
      <c r="D2">
        <f>C2*C2</f>
        <v>7098.0625</v>
      </c>
      <c r="E2">
        <v>0.71899999999999997</v>
      </c>
      <c r="F2">
        <f>1-E2</f>
        <v>0.28100000000000003</v>
      </c>
      <c r="G2">
        <f>F2/F$22</f>
        <v>3.4614437053461448E-2</v>
      </c>
      <c r="H2" s="8">
        <f>B2/$B$22</f>
        <v>0.18593879893907606</v>
      </c>
      <c r="I2">
        <f>$D$22/D2</f>
        <v>7.8187593727161468</v>
      </c>
      <c r="J2">
        <f>E2/$E$22</f>
        <v>7.2758550900627397E-2</v>
      </c>
      <c r="K2">
        <v>2001</v>
      </c>
      <c r="L2" s="9">
        <f>H2*I2*J2</f>
        <v>0.10577716177714146</v>
      </c>
      <c r="M2" s="10">
        <f>L2/$L$22</f>
        <v>5.9189553276713616E-2</v>
      </c>
    </row>
    <row r="3" spans="1:14" x14ac:dyDescent="0.3">
      <c r="A3" s="3" t="s">
        <v>10</v>
      </c>
      <c r="B3" s="7">
        <v>11594</v>
      </c>
      <c r="C3">
        <v>52.66</v>
      </c>
      <c r="D3">
        <f>C3*C3</f>
        <v>2773.0755999999997</v>
      </c>
      <c r="E3">
        <v>0.45400000000000001</v>
      </c>
      <c r="F3">
        <f t="shared" ref="F3:F20" si="0">1-E3</f>
        <v>0.54600000000000004</v>
      </c>
      <c r="G3">
        <f t="shared" ref="G3:G20" si="1">F3/F$22</f>
        <v>6.7257945306725797E-2</v>
      </c>
      <c r="H3" s="8">
        <f>B3/$B$22</f>
        <v>7.6494728369159312E-2</v>
      </c>
      <c r="I3">
        <f>$D$22/D3</f>
        <v>20.013173351638883</v>
      </c>
      <c r="J3">
        <f>E3/$E$22</f>
        <v>4.5942116980368347E-2</v>
      </c>
      <c r="K3">
        <v>2001</v>
      </c>
      <c r="L3" s="9">
        <f>H3*I3*J3</f>
        <v>7.0332890684040208E-2</v>
      </c>
      <c r="M3" s="10">
        <f>L3/$L$22</f>
        <v>3.9356060517289231E-2</v>
      </c>
    </row>
    <row r="4" spans="1:14" x14ac:dyDescent="0.3">
      <c r="A4" s="3" t="s">
        <v>9</v>
      </c>
      <c r="B4" s="7">
        <v>37600</v>
      </c>
      <c r="C4">
        <v>28.97</v>
      </c>
      <c r="D4">
        <f>C4*C4</f>
        <v>839.26089999999988</v>
      </c>
      <c r="E4">
        <v>0.54600000000000004</v>
      </c>
      <c r="F4">
        <f t="shared" si="0"/>
        <v>0.45399999999999996</v>
      </c>
      <c r="G4">
        <f t="shared" si="1"/>
        <v>5.5925104705592504E-2</v>
      </c>
      <c r="H4" s="8">
        <f>B4/$B$22</f>
        <v>0.24807674544422892</v>
      </c>
      <c r="I4">
        <f>$D$22/D4</f>
        <v>66.127282588763535</v>
      </c>
      <c r="J4">
        <f>E4/$E$22</f>
        <v>5.5251973284760177E-2</v>
      </c>
      <c r="K4">
        <v>2000</v>
      </c>
      <c r="L4" s="9">
        <f>H4*I4*J4</f>
        <v>0.90638878902362285</v>
      </c>
      <c r="M4" s="10">
        <f>L4/$L$22</f>
        <v>0.50718649107224589</v>
      </c>
    </row>
    <row r="5" spans="1:14" x14ac:dyDescent="0.3">
      <c r="A5" s="3" t="s">
        <v>11</v>
      </c>
      <c r="B5" s="7">
        <v>32444</v>
      </c>
      <c r="C5">
        <v>67.900000000000006</v>
      </c>
      <c r="D5">
        <f>C5*C5</f>
        <v>4610.4100000000008</v>
      </c>
      <c r="E5">
        <v>0.55000000000000004</v>
      </c>
      <c r="F5">
        <f t="shared" si="0"/>
        <v>0.44999999999999996</v>
      </c>
      <c r="G5">
        <f t="shared" si="1"/>
        <v>5.5432372505543233E-2</v>
      </c>
      <c r="H5" s="8">
        <f>B5/$B$22</f>
        <v>0.21405856194661071</v>
      </c>
      <c r="I5">
        <f>$D$22/D5</f>
        <v>12.037550391396859</v>
      </c>
      <c r="J5">
        <f>E5/$E$22</f>
        <v>5.5656749645820687E-2</v>
      </c>
      <c r="K5">
        <v>2000</v>
      </c>
      <c r="L5" s="9">
        <f>H5*I5*J5</f>
        <v>0.14341301349709068</v>
      </c>
      <c r="M5" s="10">
        <f>L5/$L$22</f>
        <v>8.0249385220264827E-2</v>
      </c>
    </row>
    <row r="6" spans="1:14" x14ac:dyDescent="0.3">
      <c r="A6" s="34" t="s">
        <v>37</v>
      </c>
      <c r="B6" s="35">
        <f>SUM(B2:B5)</f>
        <v>109820</v>
      </c>
      <c r="C6" s="34"/>
      <c r="D6" s="36"/>
      <c r="E6" s="34"/>
      <c r="F6" s="34"/>
      <c r="G6" s="34"/>
      <c r="H6" s="34"/>
      <c r="I6" s="34"/>
      <c r="J6" s="34"/>
      <c r="K6" s="34"/>
      <c r="L6" s="34"/>
      <c r="M6" s="40">
        <f>SUM(M2:M5)</f>
        <v>0.68598149008651355</v>
      </c>
    </row>
    <row r="7" spans="1:14" x14ac:dyDescent="0.3">
      <c r="A7" s="5" t="s">
        <v>13</v>
      </c>
      <c r="B7" s="7">
        <f>(1060*2)+(467*2)</f>
        <v>3054</v>
      </c>
      <c r="C7" s="5">
        <v>80.45</v>
      </c>
      <c r="D7" s="5">
        <f t="shared" ref="D7:D20" si="2">C7*C7</f>
        <v>6472.2025000000003</v>
      </c>
      <c r="E7" s="5">
        <v>0.56499999999999995</v>
      </c>
      <c r="F7">
        <f t="shared" si="0"/>
        <v>0.43500000000000005</v>
      </c>
      <c r="G7">
        <f t="shared" si="1"/>
        <v>5.3584626755358467E-2</v>
      </c>
      <c r="H7" s="11">
        <f t="shared" ref="H7:H20" si="3">B7/$B$22</f>
        <v>2.0149637781560509E-2</v>
      </c>
      <c r="I7" s="5">
        <f t="shared" ref="I7:I20" si="4">$D$22/D7</f>
        <v>8.5748310100000733</v>
      </c>
      <c r="J7" s="5">
        <f t="shared" ref="J7:J20" si="5">E7/$E$22</f>
        <v>5.7174660999797608E-2</v>
      </c>
      <c r="K7" s="5">
        <v>2000</v>
      </c>
      <c r="L7" s="12">
        <f t="shared" ref="L7:L20" si="6">H7*I7*J7</f>
        <v>9.8786229986460913E-3</v>
      </c>
      <c r="M7" s="53">
        <f>L7/$L$22</f>
        <v>5.5277649017548879E-3</v>
      </c>
    </row>
    <row r="8" spans="1:14" x14ac:dyDescent="0.3">
      <c r="A8" s="5" t="s">
        <v>14</v>
      </c>
      <c r="B8" s="7">
        <f>450*2</f>
        <v>900</v>
      </c>
      <c r="C8" s="5">
        <v>41.62</v>
      </c>
      <c r="D8" s="5">
        <f t="shared" si="2"/>
        <v>1732.2243999999998</v>
      </c>
      <c r="E8" s="5">
        <v>0.55400000000000005</v>
      </c>
      <c r="F8">
        <f t="shared" si="0"/>
        <v>0.44599999999999995</v>
      </c>
      <c r="G8">
        <f t="shared" si="1"/>
        <v>5.4939640305493954E-2</v>
      </c>
      <c r="H8" s="11">
        <f t="shared" si="3"/>
        <v>5.9380072047820753E-3</v>
      </c>
      <c r="I8" s="5">
        <f t="shared" si="4"/>
        <v>32.038598867444662</v>
      </c>
      <c r="J8" s="5">
        <f t="shared" si="5"/>
        <v>5.6061526006881204E-2</v>
      </c>
      <c r="K8" s="5">
        <v>1999</v>
      </c>
      <c r="L8" s="12">
        <f t="shared" si="6"/>
        <v>1.0665449172427557E-2</v>
      </c>
      <c r="M8" s="53">
        <f t="shared" ref="M8:M20" si="7">L8/$L$22</f>
        <v>5.9680479359194051E-3</v>
      </c>
    </row>
    <row r="9" spans="1:14" x14ac:dyDescent="0.3">
      <c r="A9" s="5" t="s">
        <v>15</v>
      </c>
      <c r="B9" s="7">
        <f>(148*2)+(15*2)+(199*2)+(20*2)+(15*2)+(337*2)+(50*2)+(134*2)+(28*2)+(281*2)+(72*2)+(718*2)+(841*2)+(84*2)+(10*2)+(116*2)</f>
        <v>6136</v>
      </c>
      <c r="C9" s="5">
        <v>27.64</v>
      </c>
      <c r="D9" s="5">
        <f t="shared" si="2"/>
        <v>763.96960000000001</v>
      </c>
      <c r="E9" s="5">
        <v>0.52900000000000003</v>
      </c>
      <c r="F9">
        <f t="shared" si="0"/>
        <v>0.47099999999999997</v>
      </c>
      <c r="G9">
        <f t="shared" si="1"/>
        <v>5.8019216555801917E-2</v>
      </c>
      <c r="H9" s="11">
        <f t="shared" si="3"/>
        <v>4.048401356504757E-2</v>
      </c>
      <c r="I9" s="5">
        <f t="shared" si="4"/>
        <v>72.644307705437498</v>
      </c>
      <c r="J9" s="5">
        <f t="shared" si="5"/>
        <v>5.3531673750252987E-2</v>
      </c>
      <c r="K9" s="5">
        <v>1999</v>
      </c>
      <c r="L9" s="12">
        <f t="shared" si="6"/>
        <v>0.15743307329525938</v>
      </c>
      <c r="M9" s="53">
        <f t="shared" si="7"/>
        <v>8.8094567133112742E-2</v>
      </c>
    </row>
    <row r="10" spans="1:14" x14ac:dyDescent="0.3">
      <c r="A10" s="5" t="s">
        <v>16</v>
      </c>
      <c r="B10" s="7">
        <v>2120</v>
      </c>
      <c r="C10" s="5">
        <v>67.12</v>
      </c>
      <c r="D10" s="5">
        <f t="shared" si="2"/>
        <v>4505.0944000000009</v>
      </c>
      <c r="E10" s="5">
        <v>0.42599999999999999</v>
      </c>
      <c r="F10">
        <f t="shared" si="0"/>
        <v>0.57400000000000007</v>
      </c>
      <c r="G10">
        <f t="shared" si="1"/>
        <v>7.0707070707070718E-2</v>
      </c>
      <c r="H10" s="11">
        <f t="shared" si="3"/>
        <v>1.3987305860153332E-2</v>
      </c>
      <c r="I10" s="5">
        <f t="shared" si="4"/>
        <v>12.318952228836757</v>
      </c>
      <c r="J10" s="5">
        <f t="shared" si="5"/>
        <v>4.3108682452944747E-2</v>
      </c>
      <c r="K10" s="5">
        <v>2000</v>
      </c>
      <c r="L10" s="12">
        <f t="shared" si="6"/>
        <v>7.428011925802289E-3</v>
      </c>
      <c r="M10" s="53">
        <f t="shared" si="7"/>
        <v>4.1564804749502152E-3</v>
      </c>
    </row>
    <row r="11" spans="1:14" x14ac:dyDescent="0.3">
      <c r="A11" s="5" t="s">
        <v>17</v>
      </c>
      <c r="B11" s="7">
        <f>(154*2)+(430*2)+(420*2)+(503*2)+(570*2)+(212*2)+(227*2)</f>
        <v>5032</v>
      </c>
      <c r="C11" s="5">
        <v>73.349999999999994</v>
      </c>
      <c r="D11" s="5">
        <f t="shared" si="2"/>
        <v>5380.2224999999989</v>
      </c>
      <c r="E11" s="5">
        <v>0.56799999999999995</v>
      </c>
      <c r="F11">
        <f t="shared" si="0"/>
        <v>0.43200000000000005</v>
      </c>
      <c r="G11">
        <f t="shared" si="1"/>
        <v>5.3215077605321515E-2</v>
      </c>
      <c r="H11" s="11">
        <f t="shared" si="3"/>
        <v>3.3200058060514889E-2</v>
      </c>
      <c r="I11" s="5">
        <f t="shared" si="4"/>
        <v>10.315194715460191</v>
      </c>
      <c r="J11" s="5">
        <f t="shared" si="5"/>
        <v>5.7478243270592991E-2</v>
      </c>
      <c r="K11" s="5">
        <v>2000</v>
      </c>
      <c r="L11" s="12">
        <f t="shared" si="6"/>
        <v>1.9684290229163667E-2</v>
      </c>
      <c r="M11" s="53">
        <f t="shared" si="7"/>
        <v>1.1014706063754079E-2</v>
      </c>
    </row>
    <row r="12" spans="1:14" x14ac:dyDescent="0.3">
      <c r="A12" s="5" t="s">
        <v>18</v>
      </c>
      <c r="B12" s="7">
        <f>(45*2)+(300*2)+(497*2)+(300*2)</f>
        <v>2284</v>
      </c>
      <c r="C12" s="5">
        <v>44.97</v>
      </c>
      <c r="D12" s="5">
        <f t="shared" si="2"/>
        <v>2022.3009</v>
      </c>
      <c r="E12" s="5">
        <v>0.56999999999999995</v>
      </c>
      <c r="F12">
        <f t="shared" si="0"/>
        <v>0.43000000000000005</v>
      </c>
      <c r="G12">
        <f t="shared" si="1"/>
        <v>5.2968711505296875E-2</v>
      </c>
      <c r="H12" s="11">
        <f t="shared" si="3"/>
        <v>1.5069342728580289E-2</v>
      </c>
      <c r="I12" s="5">
        <f t="shared" si="4"/>
        <v>27.443019335055435</v>
      </c>
      <c r="J12" s="5">
        <f t="shared" si="5"/>
        <v>5.7680631451123253E-2</v>
      </c>
      <c r="K12" s="5">
        <v>1999</v>
      </c>
      <c r="L12" s="12">
        <f t="shared" si="6"/>
        <v>2.3853724995364641E-2</v>
      </c>
      <c r="M12" s="53">
        <f t="shared" si="7"/>
        <v>1.334778985123348E-2</v>
      </c>
    </row>
    <row r="13" spans="1:14" x14ac:dyDescent="0.3">
      <c r="A13" s="5" t="s">
        <v>19</v>
      </c>
      <c r="B13" s="7">
        <f>(185*2)+(1128*2)+(82*2)</f>
        <v>2790</v>
      </c>
      <c r="C13" s="5">
        <v>48.82</v>
      </c>
      <c r="D13" s="5">
        <f t="shared" si="2"/>
        <v>2383.3924000000002</v>
      </c>
      <c r="E13" s="5">
        <v>0.58199999999999996</v>
      </c>
      <c r="F13">
        <f t="shared" si="0"/>
        <v>0.41800000000000004</v>
      </c>
      <c r="G13">
        <f t="shared" si="1"/>
        <v>5.1490514905149054E-2</v>
      </c>
      <c r="H13" s="11">
        <f t="shared" si="3"/>
        <v>1.8407822334824433E-2</v>
      </c>
      <c r="I13" s="5">
        <f t="shared" si="4"/>
        <v>23.285314956949598</v>
      </c>
      <c r="J13" s="5">
        <f t="shared" si="5"/>
        <v>5.8894960534304798E-2</v>
      </c>
      <c r="K13" s="5">
        <v>1999</v>
      </c>
      <c r="L13" s="12">
        <f t="shared" si="6"/>
        <v>2.5244261233504522E-2</v>
      </c>
      <c r="M13" s="53">
        <f t="shared" si="7"/>
        <v>1.4125889937942062E-2</v>
      </c>
    </row>
    <row r="14" spans="1:14" x14ac:dyDescent="0.3">
      <c r="A14" s="5" t="s">
        <v>22</v>
      </c>
      <c r="B14" s="7">
        <f>384*2</f>
        <v>768</v>
      </c>
      <c r="C14" s="5">
        <v>33.950000000000003</v>
      </c>
      <c r="D14" s="5">
        <f t="shared" si="2"/>
        <v>1152.6025000000002</v>
      </c>
      <c r="E14" s="5">
        <v>0.495</v>
      </c>
      <c r="F14">
        <f t="shared" si="0"/>
        <v>0.505</v>
      </c>
      <c r="G14">
        <f t="shared" si="1"/>
        <v>6.2207440256220742E-2</v>
      </c>
      <c r="H14" s="11">
        <f t="shared" si="3"/>
        <v>5.0670994814140374E-3</v>
      </c>
      <c r="I14" s="5">
        <f t="shared" si="4"/>
        <v>48.150201565587437</v>
      </c>
      <c r="J14" s="5">
        <f t="shared" si="5"/>
        <v>5.0091074681238613E-2</v>
      </c>
      <c r="K14" s="5">
        <v>2000</v>
      </c>
      <c r="L14" s="12">
        <f t="shared" si="6"/>
        <v>1.2221313639401932E-2</v>
      </c>
      <c r="M14" s="53">
        <f t="shared" si="7"/>
        <v>6.8386604690231839E-3</v>
      </c>
    </row>
    <row r="15" spans="1:14" x14ac:dyDescent="0.3">
      <c r="A15" s="5" t="s">
        <v>23</v>
      </c>
      <c r="B15" s="7">
        <f>8*2</f>
        <v>16</v>
      </c>
      <c r="C15" s="5">
        <v>38.92</v>
      </c>
      <c r="D15" s="5">
        <f t="shared" si="2"/>
        <v>1514.7664000000002</v>
      </c>
      <c r="E15" s="5">
        <v>0.54500000000000004</v>
      </c>
      <c r="F15">
        <f t="shared" si="0"/>
        <v>0.45499999999999996</v>
      </c>
      <c r="G15">
        <f t="shared" si="1"/>
        <v>5.6048287755604824E-2</v>
      </c>
      <c r="H15" s="11">
        <f t="shared" si="3"/>
        <v>1.0556457252945911E-4</v>
      </c>
      <c r="I15" s="5">
        <f t="shared" si="4"/>
        <v>36.638020687546273</v>
      </c>
      <c r="J15" s="5">
        <f t="shared" si="5"/>
        <v>5.5150779194495049E-2</v>
      </c>
      <c r="K15" s="5">
        <v>2002</v>
      </c>
      <c r="L15" s="12">
        <f t="shared" si="6"/>
        <v>2.1330539979279851E-4</v>
      </c>
      <c r="M15" s="53">
        <f t="shared" si="7"/>
        <v>1.1935895341800442E-4</v>
      </c>
    </row>
    <row r="16" spans="1:14" x14ac:dyDescent="0.3">
      <c r="A16" s="5" t="s">
        <v>24</v>
      </c>
      <c r="B16" s="7">
        <f>(234*2)+(554*2)</f>
        <v>1576</v>
      </c>
      <c r="C16" s="5">
        <v>40.75</v>
      </c>
      <c r="D16" s="5">
        <f t="shared" si="2"/>
        <v>1660.5625</v>
      </c>
      <c r="E16" s="5">
        <v>0.54900000000000004</v>
      </c>
      <c r="F16">
        <f t="shared" si="0"/>
        <v>0.45099999999999996</v>
      </c>
      <c r="G16">
        <f t="shared" si="1"/>
        <v>5.5555555555555546E-2</v>
      </c>
      <c r="H16" s="11">
        <f t="shared" si="3"/>
        <v>1.0398110394151722E-2</v>
      </c>
      <c r="I16" s="5">
        <f t="shared" si="4"/>
        <v>33.421230878091009</v>
      </c>
      <c r="J16" s="5">
        <f t="shared" si="5"/>
        <v>5.5555555555555559E-2</v>
      </c>
      <c r="K16" s="5">
        <v>1999</v>
      </c>
      <c r="L16" s="12">
        <f t="shared" si="6"/>
        <v>1.930653600993459E-2</v>
      </c>
      <c r="M16" s="53">
        <f t="shared" si="7"/>
        <v>1.0803326753618395E-2</v>
      </c>
    </row>
    <row r="17" spans="1:14" x14ac:dyDescent="0.3">
      <c r="A17" s="5" t="s">
        <v>29</v>
      </c>
      <c r="B17" s="7">
        <f>420*2</f>
        <v>840</v>
      </c>
      <c r="C17" s="5">
        <v>73.709999999999994</v>
      </c>
      <c r="D17" s="5">
        <f t="shared" si="2"/>
        <v>5433.1640999999991</v>
      </c>
      <c r="E17" s="5">
        <v>0.64300000000000002</v>
      </c>
      <c r="F17">
        <f t="shared" si="0"/>
        <v>0.35699999999999998</v>
      </c>
      <c r="G17">
        <f t="shared" si="1"/>
        <v>4.3976348854397634E-2</v>
      </c>
      <c r="H17" s="11">
        <f t="shared" si="3"/>
        <v>5.5421400577966035E-3</v>
      </c>
      <c r="I17" s="5">
        <f t="shared" si="4"/>
        <v>10.214681846256036</v>
      </c>
      <c r="J17" s="5">
        <f t="shared" si="5"/>
        <v>6.5067800040477644E-2</v>
      </c>
      <c r="K17" s="5">
        <v>2001</v>
      </c>
      <c r="L17" s="12">
        <f t="shared" si="6"/>
        <v>3.683566074933687E-3</v>
      </c>
      <c r="M17" s="53">
        <f t="shared" si="7"/>
        <v>2.06120703918999E-3</v>
      </c>
    </row>
    <row r="18" spans="1:14" x14ac:dyDescent="0.3">
      <c r="A18" s="5" t="s">
        <v>25</v>
      </c>
      <c r="B18" s="7">
        <f>1*2</f>
        <v>2</v>
      </c>
      <c r="C18" s="5">
        <v>69.23</v>
      </c>
      <c r="D18" s="5">
        <f t="shared" si="2"/>
        <v>4792.7929000000004</v>
      </c>
      <c r="E18" s="5">
        <v>0.56299999999999994</v>
      </c>
      <c r="F18">
        <f t="shared" si="0"/>
        <v>0.43700000000000006</v>
      </c>
      <c r="G18">
        <f t="shared" si="1"/>
        <v>5.3830992855383106E-2</v>
      </c>
      <c r="H18" s="11">
        <f t="shared" si="3"/>
        <v>1.3195571566182389E-5</v>
      </c>
      <c r="I18" s="5">
        <f t="shared" si="4"/>
        <v>11.579478575007904</v>
      </c>
      <c r="J18" s="5">
        <f t="shared" si="5"/>
        <v>5.6972272819267353E-2</v>
      </c>
      <c r="K18" s="5">
        <v>2000</v>
      </c>
      <c r="L18" s="12">
        <f t="shared" si="6"/>
        <v>8.7052401261524543E-6</v>
      </c>
      <c r="M18" s="53">
        <f t="shared" si="7"/>
        <v>4.8711769684184685E-6</v>
      </c>
    </row>
    <row r="19" spans="1:14" x14ac:dyDescent="0.3">
      <c r="A19" s="5" t="s">
        <v>26</v>
      </c>
      <c r="B19" s="7">
        <f>(493*2)+(405*2)+(3098*2)+(1810*2)</f>
        <v>11612</v>
      </c>
      <c r="C19" s="5">
        <v>33.549999999999997</v>
      </c>
      <c r="D19" s="5">
        <f t="shared" si="2"/>
        <v>1125.6024999999997</v>
      </c>
      <c r="E19" s="5">
        <v>0.53300000000000003</v>
      </c>
      <c r="F19">
        <f t="shared" si="0"/>
        <v>0.46699999999999997</v>
      </c>
      <c r="G19">
        <f t="shared" si="1"/>
        <v>5.7526484355752645E-2</v>
      </c>
      <c r="H19" s="11">
        <f t="shared" si="3"/>
        <v>7.6613488513254946E-2</v>
      </c>
      <c r="I19" s="5">
        <f t="shared" si="4"/>
        <v>49.305187843843647</v>
      </c>
      <c r="J19" s="5">
        <f t="shared" si="5"/>
        <v>5.3936450111313504E-2</v>
      </c>
      <c r="K19" s="5">
        <v>1999</v>
      </c>
      <c r="L19" s="12">
        <f t="shared" si="6"/>
        <v>0.20374183584924072</v>
      </c>
      <c r="M19" s="53">
        <f t="shared" si="7"/>
        <v>0.1140074855960081</v>
      </c>
    </row>
    <row r="20" spans="1:14" x14ac:dyDescent="0.3">
      <c r="A20" s="5" t="s">
        <v>27</v>
      </c>
      <c r="B20" s="7">
        <v>4616</v>
      </c>
      <c r="C20" s="5">
        <v>35.19</v>
      </c>
      <c r="D20" s="5">
        <f t="shared" si="2"/>
        <v>1238.3360999999998</v>
      </c>
      <c r="E20" s="5">
        <v>0.49099999999999999</v>
      </c>
      <c r="F20">
        <f t="shared" si="0"/>
        <v>0.50900000000000001</v>
      </c>
      <c r="G20">
        <f t="shared" si="1"/>
        <v>6.270017245627002E-2</v>
      </c>
      <c r="H20" s="11">
        <f t="shared" si="3"/>
        <v>3.0455379174748953E-2</v>
      </c>
      <c r="I20" s="5">
        <f t="shared" si="4"/>
        <v>44.816623451420028</v>
      </c>
      <c r="J20" s="5">
        <f t="shared" si="5"/>
        <v>4.9686298320178103E-2</v>
      </c>
      <c r="K20" s="5">
        <v>2000</v>
      </c>
      <c r="L20" s="12">
        <f t="shared" si="6"/>
        <v>6.7817189326813104E-2</v>
      </c>
      <c r="M20" s="53">
        <f t="shared" si="7"/>
        <v>3.7948353626593732E-2</v>
      </c>
    </row>
    <row r="21" spans="1:14" x14ac:dyDescent="0.3">
      <c r="A21" s="37" t="s">
        <v>38</v>
      </c>
      <c r="B21" s="38">
        <f>SUM(B7:B20)</f>
        <v>41746</v>
      </c>
      <c r="C21" s="37"/>
      <c r="D21" s="39"/>
      <c r="E21" s="37"/>
      <c r="F21" s="37"/>
      <c r="G21" s="37"/>
      <c r="H21" s="37"/>
      <c r="I21" s="37"/>
      <c r="J21" s="37"/>
      <c r="K21" s="37"/>
      <c r="L21" s="37"/>
      <c r="M21" s="54">
        <f>SUM(M7:M20)</f>
        <v>0.31401850991348668</v>
      </c>
    </row>
    <row r="22" spans="1:14" x14ac:dyDescent="0.3">
      <c r="A22" t="s">
        <v>28</v>
      </c>
      <c r="B22" s="7">
        <f>B21+B6</f>
        <v>151566</v>
      </c>
      <c r="C22">
        <f t="shared" ref="C22:J22" si="8">SUM(C2:C5,C7:C20)</f>
        <v>943.05000000000018</v>
      </c>
      <c r="D22">
        <f t="shared" si="8"/>
        <v>55498.042700000005</v>
      </c>
      <c r="E22">
        <f t="shared" si="8"/>
        <v>9.8819999999999997</v>
      </c>
      <c r="F22">
        <f t="shared" si="8"/>
        <v>8.1180000000000003</v>
      </c>
      <c r="G22">
        <f t="shared" si="8"/>
        <v>1</v>
      </c>
      <c r="H22" s="8">
        <f t="shared" si="8"/>
        <v>1.0000000000000002</v>
      </c>
      <c r="I22">
        <f t="shared" si="8"/>
        <v>526.74240937145203</v>
      </c>
      <c r="J22">
        <f t="shared" si="8"/>
        <v>1</v>
      </c>
      <c r="L22" s="9">
        <f>SUM(L2:L5,L7:L20)</f>
        <v>1.7870917403723059</v>
      </c>
      <c r="M22" s="41">
        <f>M21+M6</f>
        <v>1.0000000000000002</v>
      </c>
    </row>
    <row r="23" spans="1:14" x14ac:dyDescent="0.3">
      <c r="B23" s="7"/>
    </row>
    <row r="24" spans="1:14" x14ac:dyDescent="0.3">
      <c r="A24" s="48" t="s">
        <v>57</v>
      </c>
    </row>
    <row r="25" spans="1:14" x14ac:dyDescent="0.3">
      <c r="A25" t="s">
        <v>55</v>
      </c>
    </row>
    <row r="26" spans="1:14" x14ac:dyDescent="0.3">
      <c r="A26" t="s">
        <v>56</v>
      </c>
    </row>
    <row r="29" spans="1:14" x14ac:dyDescent="0.3">
      <c r="A29" s="14" t="s">
        <v>62</v>
      </c>
    </row>
    <row r="31" spans="1:14" x14ac:dyDescent="0.3">
      <c r="A31" s="3" t="s">
        <v>12</v>
      </c>
      <c r="B31" s="7">
        <v>22964</v>
      </c>
      <c r="C31">
        <v>84.25</v>
      </c>
      <c r="D31">
        <f>C31*C31</f>
        <v>7098.0625</v>
      </c>
      <c r="E31">
        <v>0.71899999999999997</v>
      </c>
      <c r="F31">
        <f>1-E31</f>
        <v>0.28100000000000003</v>
      </c>
      <c r="G31" s="8">
        <f>F31/F$36</f>
        <v>0.16233391103408434</v>
      </c>
      <c r="H31" s="8">
        <f>B31/$B$22</f>
        <v>0.1515115527229062</v>
      </c>
      <c r="I31" s="8">
        <f>$D$36/D31</f>
        <v>2.1584494360256761</v>
      </c>
      <c r="J31" s="8">
        <f>E31/$E$36</f>
        <v>0.31687968267959449</v>
      </c>
      <c r="K31">
        <v>2001</v>
      </c>
      <c r="L31" s="9">
        <f>H31*I31*G31</f>
        <v>5.3088063069233339E-2</v>
      </c>
      <c r="M31" s="10">
        <f>L31/$L$36</f>
        <v>6.5626229995508434E-2</v>
      </c>
      <c r="N31">
        <f>M31*M$6</f>
        <v>4.5018379041079123E-2</v>
      </c>
    </row>
    <row r="32" spans="1:14" x14ac:dyDescent="0.3">
      <c r="A32" s="3" t="s">
        <v>10</v>
      </c>
      <c r="B32" s="7">
        <v>9326</v>
      </c>
      <c r="C32">
        <v>52.66</v>
      </c>
      <c r="D32">
        <f>C32*C32</f>
        <v>2773.0755999999997</v>
      </c>
      <c r="E32">
        <v>0.45400000000000001</v>
      </c>
      <c r="F32">
        <f t="shared" ref="F32:F34" si="9">1-E32</f>
        <v>0.54600000000000004</v>
      </c>
      <c r="G32" s="8">
        <f t="shared" ref="G32:G34" si="10">F32/F$36</f>
        <v>0.31542461005199307</v>
      </c>
      <c r="H32" s="8">
        <f>B32/$B$22</f>
        <v>6.1530950213108483E-2</v>
      </c>
      <c r="I32" s="8">
        <f t="shared" ref="I32:I34" si="11">$D$36/D32</f>
        <v>5.5248436068601965</v>
      </c>
      <c r="J32" s="8">
        <f t="shared" ref="J32:J34" si="12">E32/$E$36</f>
        <v>0.20008814455707361</v>
      </c>
      <c r="K32">
        <v>2001</v>
      </c>
      <c r="L32" s="9">
        <f t="shared" ref="L32:L34" si="13">H32*I32*G32</f>
        <v>0.1072282419366108</v>
      </c>
      <c r="M32" s="10">
        <f t="shared" ref="M32:M34" si="14">L32/$L$36</f>
        <v>0.13255306109339404</v>
      </c>
      <c r="N32">
        <f t="shared" ref="N32:N34" si="15">M32*M$6</f>
        <v>9.092894636437511E-2</v>
      </c>
    </row>
    <row r="33" spans="1:14" x14ac:dyDescent="0.3">
      <c r="A33" s="3" t="s">
        <v>9</v>
      </c>
      <c r="B33" s="7">
        <v>19330</v>
      </c>
      <c r="C33">
        <v>28.97</v>
      </c>
      <c r="D33">
        <f>C33*C33</f>
        <v>839.26089999999988</v>
      </c>
      <c r="E33">
        <v>0.54600000000000004</v>
      </c>
      <c r="F33">
        <f t="shared" si="9"/>
        <v>0.45399999999999996</v>
      </c>
      <c r="G33" s="8">
        <f t="shared" si="10"/>
        <v>0.26227614095898322</v>
      </c>
      <c r="H33" s="8">
        <f>B33/$B$22</f>
        <v>0.12753519918715278</v>
      </c>
      <c r="I33" s="8">
        <f t="shared" si="11"/>
        <v>18.255120666291024</v>
      </c>
      <c r="J33" s="8">
        <f t="shared" si="12"/>
        <v>0.24063464081092992</v>
      </c>
      <c r="K33">
        <v>2000</v>
      </c>
      <c r="L33" s="9">
        <f t="shared" si="13"/>
        <v>0.61062356121540395</v>
      </c>
      <c r="M33" s="10">
        <f t="shared" si="14"/>
        <v>0.75483865773626957</v>
      </c>
      <c r="N33">
        <f t="shared" si="15"/>
        <v>0.51780534720882998</v>
      </c>
    </row>
    <row r="34" spans="1:14" x14ac:dyDescent="0.3">
      <c r="A34" s="3" t="s">
        <v>11</v>
      </c>
      <c r="B34" s="7">
        <v>6668</v>
      </c>
      <c r="C34">
        <v>67.900000000000006</v>
      </c>
      <c r="D34">
        <f>C34*C34</f>
        <v>4610.4100000000008</v>
      </c>
      <c r="E34">
        <v>0.55000000000000004</v>
      </c>
      <c r="F34">
        <f t="shared" si="9"/>
        <v>0.44999999999999996</v>
      </c>
      <c r="G34" s="8">
        <f t="shared" si="10"/>
        <v>0.25996533795493931</v>
      </c>
      <c r="H34" s="8">
        <f>B34/$B$22</f>
        <v>4.3994035601652083E-2</v>
      </c>
      <c r="I34" s="8">
        <f t="shared" si="11"/>
        <v>3.3230903542201231</v>
      </c>
      <c r="J34" s="8">
        <f t="shared" si="12"/>
        <v>0.24239753195240193</v>
      </c>
      <c r="K34">
        <v>2000</v>
      </c>
      <c r="L34" s="9">
        <f t="shared" si="13"/>
        <v>3.8005932933552873E-2</v>
      </c>
      <c r="M34" s="10">
        <f t="shared" si="14"/>
        <v>4.698205117482785E-2</v>
      </c>
      <c r="N34">
        <f t="shared" si="15"/>
        <v>3.2228817472229242E-2</v>
      </c>
    </row>
    <row r="36" spans="1:14" x14ac:dyDescent="0.3">
      <c r="A36" s="3" t="s">
        <v>76</v>
      </c>
      <c r="B36" s="111">
        <f>SUM(B31:B34)</f>
        <v>58288</v>
      </c>
      <c r="C36" s="111">
        <f t="shared" ref="C36:N36" si="16">SUM(C31:C34)</f>
        <v>233.78</v>
      </c>
      <c r="D36" s="111">
        <f t="shared" si="16"/>
        <v>15320.809000000001</v>
      </c>
      <c r="E36" s="111">
        <f t="shared" si="16"/>
        <v>2.2690000000000001</v>
      </c>
      <c r="F36" s="111">
        <f t="shared" si="16"/>
        <v>1.7310000000000001</v>
      </c>
      <c r="G36" s="111">
        <f t="shared" si="16"/>
        <v>1</v>
      </c>
      <c r="H36" s="111">
        <f t="shared" si="16"/>
        <v>0.38457173772481956</v>
      </c>
      <c r="I36" s="111">
        <f t="shared" si="16"/>
        <v>29.26150406339702</v>
      </c>
      <c r="J36" s="111">
        <f t="shared" si="16"/>
        <v>1</v>
      </c>
      <c r="K36" s="111">
        <f t="shared" si="16"/>
        <v>8002</v>
      </c>
      <c r="L36" s="111">
        <f t="shared" si="16"/>
        <v>0.80894579915480103</v>
      </c>
      <c r="M36" s="111">
        <f t="shared" si="16"/>
        <v>0.99999999999999989</v>
      </c>
      <c r="N36" s="111">
        <f t="shared" si="16"/>
        <v>0.68598149008651343</v>
      </c>
    </row>
  </sheetData>
  <pageMargins left="0.7" right="0.7" top="0.75" bottom="0.75" header="0.3" footer="0.3"/>
  <legacyDrawing r:id="rId1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71FFD1B571BE2883E0537D20C80A46C7" version="1.0.0">
  <systemFields>
    <field name="Objective-Id">
      <value order="0">A2735507</value>
    </field>
    <field name="Objective-Title">
      <value order="0">2018 09 24 Neart na Gaoithe - Offshore wind - Reapportioning of Breeding Season - Kittiwake</value>
    </field>
    <field name="Objective-Description">
      <value order="0"/>
    </field>
    <field name="Objective-CreationStamp">
      <value order="0">2018-09-24T10:39:17Z</value>
    </field>
    <field name="Objective-IsApproved">
      <value order="0">false</value>
    </field>
    <field name="Objective-IsPublished">
      <value order="0">true</value>
    </field>
    <field name="Objective-DatePublished">
      <value order="0">2018-09-24T15:19:46Z</value>
    </field>
    <field name="Objective-ModificationStamp">
      <value order="0">2018-09-24T15:19:46Z</value>
    </field>
    <field name="Objective-Owner">
      <value order="0">Glen Tyler</value>
    </field>
    <field name="Objective-Path">
      <value order="0">Objective Global Folder:SNH Fileplan:CNS - Consultations:REN - Renewable Resources:OSWF - Off-shore Wind Farms:NNG - Neart Na Gaoithe:Neart na Gaoithe - Offshore Wind - reapplication</value>
    </field>
    <field name="Objective-Parent">
      <value order="0">Neart na Gaoithe - Offshore Wind - reapplication</value>
    </field>
    <field name="Objective-State">
      <value order="0">Published</value>
    </field>
    <field name="Objective-VersionId">
      <value order="0">vA4852604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qA130512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CRM Apportioned Totals</vt:lpstr>
      <vt:lpstr>SB2K-Inchcape-KI</vt:lpstr>
      <vt:lpstr>SB2K-NNG-KI</vt:lpstr>
      <vt:lpstr>SB2K-Seagreen-KI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</dc:creator>
  <cp:lastModifiedBy>Glen Tyler</cp:lastModifiedBy>
  <cp:lastPrinted>2018-09-24T10:38:13Z</cp:lastPrinted>
  <dcterms:created xsi:type="dcterms:W3CDTF">2014-01-10T14:11:20Z</dcterms:created>
  <dcterms:modified xsi:type="dcterms:W3CDTF">2018-09-24T10:39:17Z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A2735507</vt:lpwstr>
  </property>
  <property fmtid="{D5CDD505-2E9C-101B-9397-08002B2CF9AE}" pid="4" name="Objective-Title">
    <vt:lpwstr>2018 09 24 Neart na Gaoithe - Offshore wind - Reapportioning of Breeding Season - Kittiwake</vt:lpwstr>
  </property>
  <property fmtid="{D5CDD505-2E9C-101B-9397-08002B2CF9AE}" pid="5" name="Objective-Comment">
    <vt:lpwstr/>
  </property>
  <property fmtid="{D5CDD505-2E9C-101B-9397-08002B2CF9AE}" pid="6" name="Objective-CreationStamp">
    <vt:filetime>2018-09-24T10:39:43Z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2018-09-24T15:19:46Z</vt:filetime>
  </property>
  <property fmtid="{D5CDD505-2E9C-101B-9397-08002B2CF9AE}" pid="10" name="Objective-ModificationStamp">
    <vt:filetime>2018-09-24T15:19:47Z</vt:filetime>
  </property>
  <property fmtid="{D5CDD505-2E9C-101B-9397-08002B2CF9AE}" pid="11" name="Objective-Owner">
    <vt:lpwstr>Glen Tyler</vt:lpwstr>
  </property>
  <property fmtid="{D5CDD505-2E9C-101B-9397-08002B2CF9AE}" pid="12" name="Objective-Path">
    <vt:lpwstr>Objective Global Folder:SNH Fileplan:CNS - Consultations:REN - Renewable Resources:OSWF - Off-shore Wind Farms:NNG - Neart Na Gaoithe:Neart na Gaoithe - Offshore Wind - reapplication:</vt:lpwstr>
  </property>
  <property fmtid="{D5CDD505-2E9C-101B-9397-08002B2CF9AE}" pid="13" name="Objective-Parent">
    <vt:lpwstr>Neart na Gaoithe - Offshore Wind - reapplication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r8>3</vt:r8>
  </property>
  <property fmtid="{D5CDD505-2E9C-101B-9397-08002B2CF9AE}" pid="17" name="Objective-VersionComment">
    <vt:lpwstr>check titlescheck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Description">
    <vt:lpwstr/>
  </property>
  <property fmtid="{D5CDD505-2E9C-101B-9397-08002B2CF9AE}" pid="33" name="Objective-VersionId">
    <vt:lpwstr>vA4852604</vt:lpwstr>
  </property>
  <property fmtid="{D5CDD505-2E9C-101B-9397-08002B2CF9AE}" pid="34" name="Objective-EIR Exception">
    <vt:lpwstr>Release</vt:lpwstr>
  </property>
  <property fmtid="{D5CDD505-2E9C-101B-9397-08002B2CF9AE}" pid="35" name="Objective-FOI Exemption">
    <vt:lpwstr>Release</vt:lpwstr>
  </property>
  <property fmtid="{D5CDD505-2E9C-101B-9397-08002B2CF9AE}" pid="36" name="Objective-DPA Exemption">
    <vt:lpwstr>Release</vt:lpwstr>
  </property>
  <property fmtid="{D5CDD505-2E9C-101B-9397-08002B2CF9AE}" pid="37" name="Objective-Justification">
    <vt:lpwstr/>
  </property>
  <property fmtid="{D5CDD505-2E9C-101B-9397-08002B2CF9AE}" pid="38" name="Objective-Date of Original">
    <vt:lpwstr/>
  </property>
  <property fmtid="{D5CDD505-2E9C-101B-9397-08002B2CF9AE}" pid="39" name="Objective-Sensitivity Review Date">
    <vt:lpwstr/>
  </property>
  <property fmtid="{D5CDD505-2E9C-101B-9397-08002B2CF9AE}" pid="40" name="Objective-FOI/EIR Disclosure Date">
    <vt:lpwstr/>
  </property>
  <property fmtid="{D5CDD505-2E9C-101B-9397-08002B2CF9AE}" pid="41" name="Objective-Date of Release">
    <vt:lpwstr/>
  </property>
  <property fmtid="{D5CDD505-2E9C-101B-9397-08002B2CF9AE}" pid="42" name="Objective-FOI Release Details">
    <vt:lpwstr/>
  </property>
  <property fmtid="{D5CDD505-2E9C-101B-9397-08002B2CF9AE}" pid="43" name="Objective-FOI/EIR Dissemination Date">
    <vt:lpwstr/>
  </property>
  <property fmtid="{D5CDD505-2E9C-101B-9397-08002B2CF9AE}" pid="44" name="Objective-Connect Creator">
    <vt:lpwstr/>
  </property>
  <property fmtid="{D5CDD505-2E9C-101B-9397-08002B2CF9AE}" pid="45" name="Objective-Date of Request">
    <vt:lpwstr/>
  </property>
  <property fmtid="{D5CDD505-2E9C-101B-9397-08002B2CF9AE}" pid="46" name="Objective-Connect Creator [system]">
    <vt:lpwstr/>
  </property>
</Properties>
</file>