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6" windowWidth="23256" windowHeight="11688" tabRatio="911" activeTab="3"/>
  </bookViews>
  <sheets>
    <sheet name="CRM Apportioned Totals" sheetId="5" r:id="rId1"/>
    <sheet name="SB2K-Inchcape-RA" sheetId="1" r:id="rId2"/>
    <sheet name="SB2K-NNG-RA" sheetId="3" r:id="rId3"/>
    <sheet name="SB2K-Seagreen-RA" sheetId="2" r:id="rId4"/>
    <sheet name="Sheet1" sheetId="6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5" l="1"/>
  <c r="N24" i="5"/>
  <c r="N25" i="5"/>
  <c r="N23" i="5"/>
  <c r="M24" i="5"/>
  <c r="M25" i="5"/>
  <c r="M23" i="5"/>
  <c r="L24" i="5"/>
  <c r="L25" i="5"/>
  <c r="L23" i="5"/>
  <c r="K24" i="5"/>
  <c r="K25" i="5"/>
  <c r="K23" i="5"/>
  <c r="J24" i="5"/>
  <c r="J25" i="5"/>
  <c r="J23" i="5"/>
  <c r="I26" i="5"/>
  <c r="I27" i="5"/>
  <c r="F16" i="5"/>
  <c r="F15" i="5"/>
  <c r="D8" i="5"/>
  <c r="D7" i="5"/>
  <c r="D6" i="5"/>
  <c r="C8" i="5"/>
  <c r="C7" i="5"/>
  <c r="C6" i="5"/>
  <c r="B8" i="5"/>
  <c r="B7" i="5"/>
  <c r="B6" i="5"/>
  <c r="L3" i="2" l="1"/>
  <c r="L4" i="2"/>
  <c r="L6" i="2"/>
  <c r="L7" i="2"/>
  <c r="L8" i="2"/>
  <c r="L9" i="2"/>
  <c r="L10" i="2"/>
  <c r="L11" i="2"/>
  <c r="L12" i="2"/>
  <c r="L13" i="2"/>
  <c r="L14" i="2"/>
  <c r="L15" i="2"/>
  <c r="L16" i="2"/>
  <c r="L2" i="2"/>
  <c r="G18" i="2"/>
  <c r="G3" i="2"/>
  <c r="G4" i="2"/>
  <c r="G6" i="2"/>
  <c r="G7" i="2"/>
  <c r="G8" i="2"/>
  <c r="G9" i="2"/>
  <c r="G10" i="2"/>
  <c r="G11" i="2"/>
  <c r="G12" i="2"/>
  <c r="G13" i="2"/>
  <c r="G14" i="2"/>
  <c r="G15" i="2"/>
  <c r="G16" i="2"/>
  <c r="G2" i="2"/>
  <c r="F18" i="2"/>
  <c r="F3" i="2"/>
  <c r="F4" i="2"/>
  <c r="F6" i="2"/>
  <c r="F7" i="2"/>
  <c r="F8" i="2"/>
  <c r="F9" i="2"/>
  <c r="F10" i="2"/>
  <c r="F11" i="2"/>
  <c r="F12" i="2"/>
  <c r="F13" i="2"/>
  <c r="F14" i="2"/>
  <c r="F15" i="2"/>
  <c r="F16" i="2"/>
  <c r="F2" i="2"/>
  <c r="J25" i="2"/>
  <c r="J26" i="2"/>
  <c r="J28" i="2" s="1"/>
  <c r="J24" i="2"/>
  <c r="I25" i="2"/>
  <c r="I26" i="2"/>
  <c r="I24" i="2"/>
  <c r="I28" i="2" s="1"/>
  <c r="H25" i="2"/>
  <c r="H26" i="2"/>
  <c r="G25" i="2"/>
  <c r="G26" i="2"/>
  <c r="G24" i="2"/>
  <c r="C28" i="2"/>
  <c r="D28" i="2"/>
  <c r="E28" i="2"/>
  <c r="F28" i="2"/>
  <c r="K28" i="2"/>
  <c r="B28" i="2"/>
  <c r="H24" i="2" s="1"/>
  <c r="F25" i="2"/>
  <c r="F26" i="2"/>
  <c r="F24" i="2"/>
  <c r="D26" i="2"/>
  <c r="D25" i="2"/>
  <c r="D24" i="2"/>
  <c r="M31" i="3"/>
  <c r="N31" i="3" s="1"/>
  <c r="M32" i="3"/>
  <c r="N32" i="3" s="1"/>
  <c r="M30" i="3"/>
  <c r="N30" i="3" s="1"/>
  <c r="L31" i="3"/>
  <c r="L32" i="3"/>
  <c r="L30" i="3"/>
  <c r="J31" i="3"/>
  <c r="J32" i="3"/>
  <c r="J30" i="3"/>
  <c r="I31" i="3"/>
  <c r="I32" i="3"/>
  <c r="I30" i="3"/>
  <c r="H31" i="3"/>
  <c r="H32" i="3"/>
  <c r="H30" i="3"/>
  <c r="G31" i="3"/>
  <c r="G32" i="3"/>
  <c r="G30" i="3"/>
  <c r="F31" i="3"/>
  <c r="F32" i="3"/>
  <c r="F30" i="3"/>
  <c r="C34" i="3"/>
  <c r="D34" i="3"/>
  <c r="E34" i="3"/>
  <c r="F34" i="3"/>
  <c r="G34" i="3"/>
  <c r="H34" i="3"/>
  <c r="I34" i="3"/>
  <c r="J34" i="3"/>
  <c r="K34" i="3"/>
  <c r="B34" i="3"/>
  <c r="G3" i="3"/>
  <c r="G4" i="3"/>
  <c r="G22" i="3" s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" i="3"/>
  <c r="F22" i="3"/>
  <c r="F3" i="3"/>
  <c r="F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" i="3"/>
  <c r="D32" i="3"/>
  <c r="D31" i="3"/>
  <c r="D30" i="3"/>
  <c r="N32" i="1"/>
  <c r="N29" i="1"/>
  <c r="N30" i="1"/>
  <c r="N28" i="1"/>
  <c r="M29" i="1"/>
  <c r="M30" i="1"/>
  <c r="M28" i="1"/>
  <c r="L29" i="1"/>
  <c r="L30" i="1"/>
  <c r="L28" i="1"/>
  <c r="J29" i="1"/>
  <c r="J30" i="1"/>
  <c r="J28" i="1"/>
  <c r="I29" i="1"/>
  <c r="I32" i="1" s="1"/>
  <c r="I30" i="1"/>
  <c r="I28" i="1"/>
  <c r="D32" i="1"/>
  <c r="E32" i="1"/>
  <c r="F32" i="1"/>
  <c r="G30" i="1" s="1"/>
  <c r="H32" i="1"/>
  <c r="J32" i="1"/>
  <c r="K32" i="1"/>
  <c r="C32" i="1"/>
  <c r="H29" i="1"/>
  <c r="H30" i="1"/>
  <c r="H28" i="1"/>
  <c r="G2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G4" i="1"/>
  <c r="F21" i="1"/>
  <c r="G2" i="1"/>
  <c r="F29" i="1"/>
  <c r="F30" i="1"/>
  <c r="F28" i="1"/>
  <c r="F3" i="1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  <c r="B32" i="1"/>
  <c r="D30" i="1"/>
  <c r="D29" i="1"/>
  <c r="D28" i="1"/>
  <c r="L26" i="2" l="1"/>
  <c r="L25" i="2"/>
  <c r="L24" i="2"/>
  <c r="H28" i="2"/>
  <c r="G28" i="2"/>
  <c r="G28" i="1"/>
  <c r="G32" i="1" s="1"/>
  <c r="G21" i="1"/>
  <c r="D12" i="3"/>
  <c r="D10" i="1"/>
  <c r="O12" i="6"/>
  <c r="N15" i="6"/>
  <c r="N16" i="6"/>
  <c r="N17" i="6"/>
  <c r="N18" i="6"/>
  <c r="C19" i="6"/>
  <c r="H22" i="6"/>
  <c r="L43" i="6"/>
  <c r="L31" i="6"/>
  <c r="H34" i="6"/>
  <c r="L27" i="6"/>
  <c r="H9" i="6"/>
  <c r="C8" i="6"/>
  <c r="H42" i="6"/>
  <c r="C18" i="2"/>
  <c r="E18" i="2"/>
  <c r="J9" i="2" s="1"/>
  <c r="B5" i="1"/>
  <c r="B5" i="2"/>
  <c r="J15" i="2"/>
  <c r="E21" i="1"/>
  <c r="C21" i="1"/>
  <c r="C22" i="3"/>
  <c r="E22" i="3"/>
  <c r="J11" i="3" s="1"/>
  <c r="J12" i="3"/>
  <c r="B21" i="3"/>
  <c r="B5" i="3"/>
  <c r="D2" i="3"/>
  <c r="D3" i="3"/>
  <c r="D4" i="3"/>
  <c r="D6" i="3"/>
  <c r="D7" i="3"/>
  <c r="D8" i="3"/>
  <c r="D9" i="3"/>
  <c r="D10" i="3"/>
  <c r="D11" i="3"/>
  <c r="D13" i="3"/>
  <c r="D14" i="3"/>
  <c r="D15" i="3"/>
  <c r="D16" i="3"/>
  <c r="D17" i="3"/>
  <c r="D18" i="3"/>
  <c r="D19" i="3"/>
  <c r="D20" i="3"/>
  <c r="D16" i="2"/>
  <c r="D15" i="2"/>
  <c r="D14" i="2"/>
  <c r="D13" i="2"/>
  <c r="D12" i="2"/>
  <c r="D11" i="2"/>
  <c r="D10" i="2"/>
  <c r="D9" i="2"/>
  <c r="D8" i="2"/>
  <c r="D7" i="2"/>
  <c r="D6" i="2"/>
  <c r="D4" i="2"/>
  <c r="D2" i="2"/>
  <c r="D3" i="2"/>
  <c r="D19" i="1"/>
  <c r="D18" i="1"/>
  <c r="D17" i="1"/>
  <c r="D16" i="1"/>
  <c r="D15" i="1"/>
  <c r="D14" i="1"/>
  <c r="D13" i="1"/>
  <c r="D12" i="1"/>
  <c r="D11" i="1"/>
  <c r="D9" i="1"/>
  <c r="D8" i="1"/>
  <c r="D7" i="1"/>
  <c r="D6" i="1"/>
  <c r="D4" i="1"/>
  <c r="D2" i="1"/>
  <c r="D3" i="1"/>
  <c r="B20" i="1"/>
  <c r="J19" i="3"/>
  <c r="B17" i="2"/>
  <c r="J3" i="1"/>
  <c r="J8" i="3"/>
  <c r="J17" i="3"/>
  <c r="J4" i="3"/>
  <c r="J9" i="3"/>
  <c r="J3" i="3"/>
  <c r="J18" i="3"/>
  <c r="J2" i="3"/>
  <c r="J7" i="3"/>
  <c r="J14" i="3"/>
  <c r="J13" i="3"/>
  <c r="J20" i="3"/>
  <c r="J6" i="3"/>
  <c r="J10" i="3"/>
  <c r="J15" i="3"/>
  <c r="J16" i="3"/>
  <c r="J10" i="2"/>
  <c r="J11" i="2"/>
  <c r="J4" i="2"/>
  <c r="J13" i="2"/>
  <c r="J16" i="2"/>
  <c r="J14" i="2"/>
  <c r="J2" i="2"/>
  <c r="J6" i="2"/>
  <c r="J7" i="2"/>
  <c r="J8" i="2"/>
  <c r="J12" i="2"/>
  <c r="J8" i="1"/>
  <c r="J16" i="1"/>
  <c r="J2" i="1"/>
  <c r="M24" i="2" l="1"/>
  <c r="M25" i="2"/>
  <c r="M28" i="2" s="1"/>
  <c r="M26" i="2"/>
  <c r="L28" i="2"/>
  <c r="J3" i="2"/>
  <c r="B18" i="2"/>
  <c r="H3" i="2" s="1"/>
  <c r="D18" i="2"/>
  <c r="I7" i="2" s="1"/>
  <c r="I2" i="2"/>
  <c r="J18" i="2"/>
  <c r="H4" i="2"/>
  <c r="H12" i="2"/>
  <c r="H13" i="2"/>
  <c r="H16" i="2"/>
  <c r="H11" i="2"/>
  <c r="H6" i="2"/>
  <c r="D22" i="3"/>
  <c r="I9" i="3"/>
  <c r="I20" i="3"/>
  <c r="I11" i="3"/>
  <c r="I17" i="3"/>
  <c r="J22" i="3"/>
  <c r="I16" i="3"/>
  <c r="I7" i="3"/>
  <c r="B22" i="3"/>
  <c r="H12" i="3" s="1"/>
  <c r="H3" i="3"/>
  <c r="H6" i="3"/>
  <c r="H13" i="3"/>
  <c r="I3" i="3"/>
  <c r="I19" i="3"/>
  <c r="I8" i="3"/>
  <c r="I10" i="3"/>
  <c r="I4" i="3"/>
  <c r="I6" i="3"/>
  <c r="I18" i="3"/>
  <c r="D21" i="1"/>
  <c r="I9" i="1"/>
  <c r="J7" i="1"/>
  <c r="J4" i="1"/>
  <c r="J12" i="1"/>
  <c r="J10" i="1"/>
  <c r="J18" i="1"/>
  <c r="J19" i="1"/>
  <c r="J9" i="1"/>
  <c r="I13" i="1"/>
  <c r="J14" i="1"/>
  <c r="J11" i="1"/>
  <c r="J15" i="1"/>
  <c r="J17" i="1"/>
  <c r="J13" i="1"/>
  <c r="J6" i="1"/>
  <c r="J21" i="1"/>
  <c r="I2" i="1"/>
  <c r="B21" i="1"/>
  <c r="H13" i="1" s="1"/>
  <c r="I16" i="1"/>
  <c r="I17" i="1"/>
  <c r="I19" i="1"/>
  <c r="I16" i="2" l="1"/>
  <c r="I8" i="2"/>
  <c r="H7" i="2"/>
  <c r="H2" i="2"/>
  <c r="I6" i="2"/>
  <c r="I13" i="2"/>
  <c r="H15" i="2"/>
  <c r="H9" i="2"/>
  <c r="I10" i="2"/>
  <c r="I11" i="2"/>
  <c r="I4" i="2"/>
  <c r="I15" i="2"/>
  <c r="I3" i="2"/>
  <c r="I12" i="2"/>
  <c r="H10" i="2"/>
  <c r="H18" i="2" s="1"/>
  <c r="H14" i="2"/>
  <c r="H8" i="2"/>
  <c r="I14" i="2"/>
  <c r="I9" i="2"/>
  <c r="I13" i="3"/>
  <c r="I14" i="3"/>
  <c r="I22" i="3" s="1"/>
  <c r="I15" i="3"/>
  <c r="I2" i="3"/>
  <c r="I12" i="3"/>
  <c r="L12" i="3" s="1"/>
  <c r="H18" i="3"/>
  <c r="L18" i="3" s="1"/>
  <c r="H8" i="3"/>
  <c r="L8" i="3" s="1"/>
  <c r="H4" i="3"/>
  <c r="H10" i="3"/>
  <c r="L10" i="3" s="1"/>
  <c r="H2" i="3"/>
  <c r="H14" i="3"/>
  <c r="H7" i="3"/>
  <c r="L7" i="3" s="1"/>
  <c r="H19" i="3"/>
  <c r="L19" i="3" s="1"/>
  <c r="H17" i="3"/>
  <c r="L17" i="3" s="1"/>
  <c r="H20" i="3"/>
  <c r="L20" i="3" s="1"/>
  <c r="C24" i="3"/>
  <c r="H16" i="3"/>
  <c r="L16" i="3" s="1"/>
  <c r="H9" i="3"/>
  <c r="L9" i="3" s="1"/>
  <c r="H11" i="3"/>
  <c r="L11" i="3" s="1"/>
  <c r="H15" i="3"/>
  <c r="L15" i="3" s="1"/>
  <c r="L13" i="3"/>
  <c r="L6" i="3"/>
  <c r="L4" i="3"/>
  <c r="L2" i="3"/>
  <c r="L3" i="3"/>
  <c r="I10" i="1"/>
  <c r="I12" i="1"/>
  <c r="I11" i="1"/>
  <c r="I7" i="1"/>
  <c r="I6" i="1"/>
  <c r="I8" i="1"/>
  <c r="I14" i="1"/>
  <c r="L13" i="1"/>
  <c r="I3" i="1"/>
  <c r="I21" i="1" s="1"/>
  <c r="I15" i="1"/>
  <c r="I4" i="1"/>
  <c r="I18" i="1"/>
  <c r="H14" i="1"/>
  <c r="H4" i="1"/>
  <c r="H3" i="1"/>
  <c r="H16" i="1"/>
  <c r="L16" i="1" s="1"/>
  <c r="H19" i="1"/>
  <c r="L19" i="1" s="1"/>
  <c r="H12" i="1"/>
  <c r="H9" i="1"/>
  <c r="L9" i="1" s="1"/>
  <c r="H6" i="1"/>
  <c r="H18" i="1"/>
  <c r="L18" i="1" s="1"/>
  <c r="H7" i="1"/>
  <c r="H17" i="1"/>
  <c r="L17" i="1" s="1"/>
  <c r="H2" i="1"/>
  <c r="L2" i="1" s="1"/>
  <c r="H10" i="1"/>
  <c r="L10" i="1" s="1"/>
  <c r="H11" i="1"/>
  <c r="H15" i="1"/>
  <c r="H8" i="1"/>
  <c r="L8" i="1" s="1"/>
  <c r="I18" i="2" l="1"/>
  <c r="L18" i="2"/>
  <c r="M2" i="2" s="1"/>
  <c r="L34" i="3"/>
  <c r="L14" i="3"/>
  <c r="L22" i="3" s="1"/>
  <c r="H22" i="3"/>
  <c r="L11" i="1"/>
  <c r="L12" i="1"/>
  <c r="L6" i="1"/>
  <c r="L7" i="1"/>
  <c r="L4" i="1"/>
  <c r="L14" i="1"/>
  <c r="L15" i="1"/>
  <c r="L3" i="1"/>
  <c r="L32" i="1"/>
  <c r="H21" i="1"/>
  <c r="M13" i="2" l="1"/>
  <c r="M11" i="2"/>
  <c r="M12" i="2"/>
  <c r="D23" i="5"/>
  <c r="M6" i="2"/>
  <c r="M7" i="2"/>
  <c r="M15" i="2"/>
  <c r="M16" i="2"/>
  <c r="M14" i="2"/>
  <c r="M8" i="2"/>
  <c r="M4" i="2"/>
  <c r="D25" i="5" s="1"/>
  <c r="M3" i="2"/>
  <c r="D24" i="5" s="1"/>
  <c r="M9" i="2"/>
  <c r="M10" i="2"/>
  <c r="M13" i="3"/>
  <c r="M4" i="3"/>
  <c r="C25" i="5" s="1"/>
  <c r="M10" i="3"/>
  <c r="M20" i="3"/>
  <c r="M8" i="3"/>
  <c r="M7" i="3"/>
  <c r="M16" i="3"/>
  <c r="M15" i="3"/>
  <c r="M14" i="3"/>
  <c r="M17" i="3"/>
  <c r="M9" i="3"/>
  <c r="M12" i="3"/>
  <c r="M19" i="3"/>
  <c r="M11" i="3"/>
  <c r="M6" i="3"/>
  <c r="M2" i="3"/>
  <c r="M3" i="3"/>
  <c r="C24" i="5" s="1"/>
  <c r="M18" i="3"/>
  <c r="L21" i="1"/>
  <c r="M13" i="1"/>
  <c r="M2" i="1"/>
  <c r="B23" i="5" s="1"/>
  <c r="M11" i="1"/>
  <c r="M9" i="1"/>
  <c r="M7" i="1"/>
  <c r="M10" i="1"/>
  <c r="M6" i="1"/>
  <c r="M4" i="1"/>
  <c r="B25" i="5" s="1"/>
  <c r="M18" i="1"/>
  <c r="M3" i="1"/>
  <c r="B24" i="5" s="1"/>
  <c r="M12" i="1"/>
  <c r="M19" i="1"/>
  <c r="M14" i="1"/>
  <c r="M17" i="2" l="1"/>
  <c r="G23" i="5"/>
  <c r="H23" i="5"/>
  <c r="G24" i="5"/>
  <c r="H24" i="5"/>
  <c r="M5" i="2"/>
  <c r="H25" i="5"/>
  <c r="G25" i="5"/>
  <c r="N34" i="3"/>
  <c r="M34" i="3"/>
  <c r="F25" i="5"/>
  <c r="F24" i="5"/>
  <c r="C23" i="5"/>
  <c r="M5" i="3"/>
  <c r="M21" i="3"/>
  <c r="C10" i="5" s="1"/>
  <c r="M32" i="1"/>
  <c r="M17" i="1"/>
  <c r="M8" i="1"/>
  <c r="M20" i="1" s="1"/>
  <c r="B10" i="5" s="1"/>
  <c r="M15" i="1"/>
  <c r="M16" i="1"/>
  <c r="E23" i="5"/>
  <c r="M5" i="1"/>
  <c r="E24" i="5"/>
  <c r="E25" i="5"/>
  <c r="D9" i="5" l="1"/>
  <c r="N25" i="2"/>
  <c r="N26" i="2"/>
  <c r="N24" i="2"/>
  <c r="M18" i="2"/>
  <c r="D10" i="5"/>
  <c r="I25" i="5"/>
  <c r="C26" i="5"/>
  <c r="C27" i="5" s="1"/>
  <c r="I24" i="5"/>
  <c r="M22" i="3"/>
  <c r="C9" i="5"/>
  <c r="C11" i="5" s="1"/>
  <c r="F23" i="5"/>
  <c r="M21" i="1"/>
  <c r="B9" i="5"/>
  <c r="B11" i="5" s="1"/>
  <c r="B26" i="5"/>
  <c r="B27" i="5" s="1"/>
  <c r="I23" i="5" l="1"/>
  <c r="N28" i="2"/>
  <c r="D26" i="5"/>
  <c r="D27" i="5" s="1"/>
  <c r="D11" i="5"/>
  <c r="K26" i="5"/>
  <c r="K27" i="5" s="1"/>
  <c r="F26" i="5"/>
  <c r="F27" i="5" s="1"/>
  <c r="J26" i="5"/>
  <c r="J27" i="5" s="1"/>
  <c r="E26" i="5"/>
  <c r="E27" i="5" s="1"/>
  <c r="M26" i="5" l="1"/>
  <c r="M27" i="5" s="1"/>
  <c r="G26" i="5"/>
  <c r="G27" i="5" s="1"/>
  <c r="H26" i="5"/>
  <c r="H27" i="5" s="1"/>
  <c r="L26" i="5"/>
  <c r="L27" i="5" s="1"/>
</calcChain>
</file>

<file path=xl/comments1.xml><?xml version="1.0" encoding="utf-8"?>
<comments xmlns="http://schemas.openxmlformats.org/spreadsheetml/2006/main">
  <authors>
    <author>Vicki Saint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Vicki Saint:</t>
        </r>
        <r>
          <rPr>
            <sz val="9"/>
            <color indexed="81"/>
            <rFont val="Tahoma"/>
            <family val="2"/>
          </rPr>
          <t xml:space="preserve">
These CRM predictions are project specific and based on snapshot Aerial Abundance Data </t>
        </r>
      </text>
    </comment>
  </commentList>
</comments>
</file>

<file path=xl/comments2.xml><?xml version="1.0" encoding="utf-8"?>
<comments xmlns="http://schemas.openxmlformats.org/spreadsheetml/2006/main">
  <authors>
    <author>Glen Tyler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mmfr+1sd = 83.5km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3.xml><?xml version="1.0" encoding="utf-8"?>
<comments xmlns="http://schemas.openxmlformats.org/spreadsheetml/2006/main">
  <authors>
    <author>Glen Tyler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4.xml><?xml version="1.0" encoding="utf-8"?>
<comments xmlns="http://schemas.openxmlformats.org/spreadsheetml/2006/main">
  <authors>
    <author>Glen Tyler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sharedStrings.xml><?xml version="1.0" encoding="utf-8"?>
<sst xmlns="http://schemas.openxmlformats.org/spreadsheetml/2006/main" count="247" uniqueCount="151">
  <si>
    <t>Pop (Individs)</t>
  </si>
  <si>
    <t>Distance</t>
  </si>
  <si>
    <t>Distance ^2</t>
  </si>
  <si>
    <t>Proportion Sea</t>
  </si>
  <si>
    <t>Colpop/sumpop</t>
  </si>
  <si>
    <t>Sum dist2/col dist2</t>
  </si>
  <si>
    <t>colsea/sumsea</t>
  </si>
  <si>
    <t>SNHWeighting</t>
  </si>
  <si>
    <t>SNH prop</t>
  </si>
  <si>
    <t>Fowlsheugh</t>
  </si>
  <si>
    <t>Forth Islands</t>
  </si>
  <si>
    <t>St Abbs Head to Fast Castle</t>
  </si>
  <si>
    <t>Berwick to Border</t>
  </si>
  <si>
    <t>Burn of Daff</t>
  </si>
  <si>
    <t>Catterline to Inv</t>
  </si>
  <si>
    <t>Eyemouth to Burnmouth</t>
  </si>
  <si>
    <t>Findon Ness - Hare Ness</t>
  </si>
  <si>
    <t>Girdle Ness to Hare Ness</t>
  </si>
  <si>
    <t>Inchcolm</t>
  </si>
  <si>
    <t>Inchkeith</t>
  </si>
  <si>
    <t>Montrose to Lunnan Bay</t>
  </si>
  <si>
    <t>Newton Hill</t>
  </si>
  <si>
    <t>Newton Hill - Hall Bay</t>
  </si>
  <si>
    <t>Stonehaven to wine cove</t>
  </si>
  <si>
    <t>Whiting Ness to Ethie Haven SSSI</t>
  </si>
  <si>
    <t>Sum</t>
  </si>
  <si>
    <t>Farne Islands</t>
  </si>
  <si>
    <t>Seahouses</t>
  </si>
  <si>
    <t>Inch Cape</t>
  </si>
  <si>
    <t>NNG</t>
  </si>
  <si>
    <t>Seagreen</t>
  </si>
  <si>
    <t>SPA Total</t>
  </si>
  <si>
    <t>Non-SPA Total</t>
  </si>
  <si>
    <t>SB2K</t>
  </si>
  <si>
    <t>Total SPA</t>
  </si>
  <si>
    <t>Non-SPA</t>
  </si>
  <si>
    <t>Total SPA and Non-SPA</t>
  </si>
  <si>
    <t>Total on Projects</t>
  </si>
  <si>
    <t>Worst Case Scenarios (for Option 3)</t>
  </si>
  <si>
    <t>Proportion of Impact</t>
  </si>
  <si>
    <t xml:space="preserve">Inch Cape </t>
  </si>
  <si>
    <t>Total</t>
  </si>
  <si>
    <t xml:space="preserve">Fowlsheugh SPA </t>
  </si>
  <si>
    <t xml:space="preserve">Forth Islands SPA </t>
  </si>
  <si>
    <t xml:space="preserve">St Abb’s Head to Fastcastle SPA </t>
  </si>
  <si>
    <t>Non-SPA Proportion</t>
  </si>
  <si>
    <t>Year Counted</t>
  </si>
  <si>
    <t>SPA TOTAL</t>
  </si>
  <si>
    <t>Table 1. Apportioned % per Colony Per Project</t>
  </si>
  <si>
    <t>Table 3. Apportioning Seabird 2K (SB2K)</t>
  </si>
  <si>
    <t>nb/  Stonehaven to Wine Cove is referred to as Crawton - Stonehaven (Fowlsheugh)</t>
  </si>
  <si>
    <t>nb/ Fowlsheugh SPA is comprised of sites Fowlsheugh 2-5 &amp; Trollochy Cove</t>
  </si>
  <si>
    <t>Colony counts taken from either JNCC SMP database (http://jncc.defra.gov.uk/smp/) or SB2K database (http://jncc.defra.gov.uk/files/Seabird%202000.zip)</t>
  </si>
  <si>
    <t>Seagreen Alpha</t>
  </si>
  <si>
    <t>Seagreen Bravo</t>
  </si>
  <si>
    <t>Totals</t>
  </si>
  <si>
    <t>Number of Breeding Season Collisions</t>
  </si>
  <si>
    <t>Site</t>
  </si>
  <si>
    <t xml:space="preserve">Year </t>
  </si>
  <si>
    <t>Count</t>
  </si>
  <si>
    <t>Bass Rock</t>
  </si>
  <si>
    <t>IOM</t>
  </si>
  <si>
    <t>Craig</t>
  </si>
  <si>
    <t>Fidra</t>
  </si>
  <si>
    <t>lamb</t>
  </si>
  <si>
    <t>EB1</t>
  </si>
  <si>
    <t>EB2</t>
  </si>
  <si>
    <t>EB3</t>
  </si>
  <si>
    <t>EB4</t>
  </si>
  <si>
    <t>EB5</t>
  </si>
  <si>
    <t>EB6</t>
  </si>
  <si>
    <t>EB7</t>
  </si>
  <si>
    <t>Northumberland</t>
  </si>
  <si>
    <t>Berwick to Scottish border</t>
  </si>
  <si>
    <t>Coquet</t>
  </si>
  <si>
    <t>Inchmickery</t>
  </si>
  <si>
    <t>ST Abbs</t>
  </si>
  <si>
    <t>Lunan Bay to Arbroath</t>
  </si>
  <si>
    <t>Auch/C</t>
  </si>
  <si>
    <t>Whiting ness</t>
  </si>
  <si>
    <t>Catterline to Inverbervie</t>
  </si>
  <si>
    <t>CI9</t>
  </si>
  <si>
    <t>CI7</t>
  </si>
  <si>
    <t>CI8</t>
  </si>
  <si>
    <t>CI4</t>
  </si>
  <si>
    <t>Findon Ness to Hare Ness</t>
  </si>
  <si>
    <t>HNSC/A</t>
  </si>
  <si>
    <t>Hare</t>
  </si>
  <si>
    <t>Findon</t>
  </si>
  <si>
    <t>SCFN/A</t>
  </si>
  <si>
    <t>Book total</t>
  </si>
  <si>
    <t>Newton hill</t>
  </si>
  <si>
    <t>DOHB/A</t>
  </si>
  <si>
    <t>Newtonhill to Hall Bay</t>
  </si>
  <si>
    <t>NH1/A</t>
  </si>
  <si>
    <t>Stonehaven</t>
  </si>
  <si>
    <t>DN4/C</t>
  </si>
  <si>
    <t>Thorny</t>
  </si>
  <si>
    <t>DN1/B</t>
  </si>
  <si>
    <t>DN1/C</t>
  </si>
  <si>
    <t>DN2/B</t>
  </si>
  <si>
    <t>Land</t>
  </si>
  <si>
    <t>Pop (Birds)</t>
  </si>
  <si>
    <t>Broadhaven to Moorburn point</t>
  </si>
  <si>
    <t>BRMP/B</t>
  </si>
  <si>
    <t>BRMP/C</t>
  </si>
  <si>
    <t>Fast Castle</t>
  </si>
  <si>
    <t>St Abbs</t>
  </si>
  <si>
    <t>MPFC/C</t>
  </si>
  <si>
    <t>MPFC/D</t>
  </si>
  <si>
    <t>Auch/B</t>
  </si>
  <si>
    <t>WE4/A</t>
  </si>
  <si>
    <t>WE5/A</t>
  </si>
  <si>
    <t>WE7/A</t>
  </si>
  <si>
    <t>WE8/A</t>
  </si>
  <si>
    <t>Montrose to Lunan Bay</t>
  </si>
  <si>
    <t>MUC/B</t>
  </si>
  <si>
    <t>NH2/A</t>
  </si>
  <si>
    <t>DN3/B</t>
  </si>
  <si>
    <t>CI5</t>
  </si>
  <si>
    <t>CI3</t>
  </si>
  <si>
    <t>CI6</t>
  </si>
  <si>
    <t>CI10</t>
  </si>
  <si>
    <t>Cove</t>
  </si>
  <si>
    <t>Cove/A</t>
  </si>
  <si>
    <t>Forvie</t>
  </si>
  <si>
    <t>Razorbill Colony Name</t>
  </si>
  <si>
    <t>Bass</t>
  </si>
  <si>
    <t>Lamb</t>
  </si>
  <si>
    <t>Lothian</t>
  </si>
  <si>
    <t>Raz Colony Name</t>
  </si>
  <si>
    <t xml:space="preserve"> Razorbill Apportioning</t>
  </si>
  <si>
    <t>SPA only (used updated Counts)</t>
  </si>
  <si>
    <t>SPA totals</t>
  </si>
  <si>
    <t>Stage 1 SNH prop</t>
  </si>
  <si>
    <t>Stage 2 Apportioning</t>
  </si>
  <si>
    <t>1-propsea</t>
  </si>
  <si>
    <t>1-propsea/Sum(1-propsea)</t>
  </si>
  <si>
    <t>1-propsea/(Sum(1-propsea)</t>
  </si>
  <si>
    <t>SPA</t>
  </si>
  <si>
    <t>SPA Updated Counts</t>
  </si>
  <si>
    <t>SPA Sum</t>
  </si>
  <si>
    <t>SUM</t>
  </si>
  <si>
    <t>Stage 1SNH prop</t>
  </si>
  <si>
    <t>Stage 2 apportioning</t>
  </si>
  <si>
    <t>Count (updated)</t>
  </si>
  <si>
    <t>Table 2. Worst Case Scenarios Breeding Season Displacement Only - Razorbill</t>
  </si>
  <si>
    <t>Adult</t>
  </si>
  <si>
    <t>immature</t>
  </si>
  <si>
    <t>Adults</t>
  </si>
  <si>
    <t>Immatures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</si>
</sst>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6" formatCode="_-* #,##0.0000000_-;\-* #,##0.0000000_-;_-* &quot;-&quot;??_-;_-@_-"/>
    <numFmt numFmtId="167" formatCode="0.000"/>
    <numFmt numFmtId="168" formatCode="_-* #,##0.00_-;\-* #,##0.00_-;_-* &quot;-&quot;???????_-;_-@_-"/>
    <numFmt numFmtId="169" formatCode="_-* #,##0.00000_-;\-* #,##0.00000_-;_-* &quot;-&quot;??_-;_-@_-"/>
    <numFmt numFmtId="170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>
      <alignment wrapText="1"/>
    </xf>
  </cellStyleXfs>
  <cellXfs count="113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0" xfId="0" applyFont="1"/>
    <xf numFmtId="0" fontId="0" fillId="2" borderId="0" xfId="0" applyFill="1"/>
    <xf numFmtId="0" fontId="0" fillId="0" borderId="0" xfId="0" applyFont="1"/>
    <xf numFmtId="0" fontId="4" fillId="0" borderId="0" xfId="0" applyFont="1"/>
    <xf numFmtId="164" fontId="0" fillId="0" borderId="0" xfId="1" applyNumberFormat="1" applyFont="1"/>
    <xf numFmtId="43" fontId="0" fillId="0" borderId="0" xfId="0" applyNumberFormat="1"/>
    <xf numFmtId="165" fontId="0" fillId="0" borderId="0" xfId="0" applyNumberFormat="1"/>
    <xf numFmtId="166" fontId="0" fillId="2" borderId="0" xfId="0" applyNumberFormat="1" applyFill="1"/>
    <xf numFmtId="43" fontId="0" fillId="0" borderId="0" xfId="0" applyNumberFormat="1" applyFont="1"/>
    <xf numFmtId="43" fontId="0" fillId="0" borderId="0" xfId="1" applyNumberFormat="1" applyFont="1"/>
    <xf numFmtId="0" fontId="3" fillId="0" borderId="0" xfId="0" applyFont="1"/>
    <xf numFmtId="2" fontId="0" fillId="0" borderId="0" xfId="0" applyNumberFormat="1"/>
    <xf numFmtId="0" fontId="7" fillId="0" borderId="0" xfId="0" applyFont="1"/>
    <xf numFmtId="0" fontId="3" fillId="0" borderId="9" xfId="0" applyFont="1" applyBorder="1"/>
    <xf numFmtId="0" fontId="3" fillId="0" borderId="11" xfId="0" applyFont="1" applyBorder="1"/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7" fillId="0" borderId="9" xfId="0" applyFont="1" applyBorder="1"/>
    <xf numFmtId="0" fontId="13" fillId="0" borderId="0" xfId="0" applyFont="1"/>
    <xf numFmtId="167" fontId="0" fillId="0" borderId="0" xfId="0" applyNumberFormat="1" applyFont="1" applyBorder="1"/>
    <xf numFmtId="167" fontId="0" fillId="0" borderId="0" xfId="0" applyNumberFormat="1" applyFont="1"/>
    <xf numFmtId="10" fontId="0" fillId="0" borderId="5" xfId="0" applyNumberFormat="1" applyFont="1" applyFill="1" applyBorder="1"/>
    <xf numFmtId="10" fontId="0" fillId="0" borderId="0" xfId="0" applyNumberFormat="1" applyFont="1" applyBorder="1"/>
    <xf numFmtId="0" fontId="3" fillId="0" borderId="15" xfId="0" applyFont="1" applyBorder="1" applyAlignment="1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16" fillId="5" borderId="0" xfId="0" applyFont="1" applyFill="1"/>
    <xf numFmtId="164" fontId="16" fillId="5" borderId="0" xfId="1" applyNumberFormat="1" applyFont="1" applyFill="1"/>
    <xf numFmtId="43" fontId="16" fillId="5" borderId="0" xfId="1" applyFont="1" applyFill="1"/>
    <xf numFmtId="0" fontId="3" fillId="5" borderId="0" xfId="0" applyFont="1" applyFill="1"/>
    <xf numFmtId="164" fontId="3" fillId="5" borderId="0" xfId="1" applyNumberFormat="1" applyFont="1" applyFill="1"/>
    <xf numFmtId="43" fontId="3" fillId="5" borderId="0" xfId="1" applyFont="1" applyFill="1"/>
    <xf numFmtId="166" fontId="16" fillId="5" borderId="0" xfId="0" applyNumberFormat="1" applyFont="1" applyFill="1"/>
    <xf numFmtId="168" fontId="0" fillId="0" borderId="0" xfId="0" applyNumberForma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7" xfId="0" applyFont="1" applyBorder="1"/>
    <xf numFmtId="0" fontId="9" fillId="0" borderId="0" xfId="0" applyFont="1" applyBorder="1"/>
    <xf numFmtId="0" fontId="9" fillId="0" borderId="7" xfId="0" applyFont="1" applyBorder="1"/>
    <xf numFmtId="0" fontId="17" fillId="0" borderId="0" xfId="0" applyFont="1"/>
    <xf numFmtId="164" fontId="0" fillId="0" borderId="0" xfId="1" applyNumberFormat="1" applyFont="1" applyFill="1"/>
    <xf numFmtId="169" fontId="0" fillId="2" borderId="0" xfId="0" applyNumberFormat="1" applyFill="1"/>
    <xf numFmtId="170" fontId="0" fillId="2" borderId="0" xfId="0" applyNumberFormat="1" applyFill="1"/>
    <xf numFmtId="169" fontId="16" fillId="5" borderId="0" xfId="0" applyNumberFormat="1" applyFont="1" applyFill="1"/>
    <xf numFmtId="166" fontId="0" fillId="0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69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3" fillId="2" borderId="0" xfId="0" applyFont="1" applyFill="1"/>
    <xf numFmtId="10" fontId="15" fillId="5" borderId="0" xfId="0" applyNumberFormat="1" applyFont="1" applyFill="1" applyBorder="1"/>
    <xf numFmtId="10" fontId="15" fillId="5" borderId="5" xfId="0" applyNumberFormat="1" applyFont="1" applyFill="1" applyBorder="1"/>
    <xf numFmtId="0" fontId="0" fillId="0" borderId="8" xfId="0" applyFont="1" applyBorder="1" applyAlignment="1">
      <alignment wrapText="1"/>
    </xf>
    <xf numFmtId="10" fontId="17" fillId="0" borderId="12" xfId="0" applyNumberFormat="1" applyFont="1" applyBorder="1"/>
    <xf numFmtId="43" fontId="0" fillId="0" borderId="0" xfId="1" applyFont="1" applyFill="1" applyBorder="1"/>
    <xf numFmtId="43" fontId="0" fillId="0" borderId="5" xfId="1" applyFont="1" applyFill="1" applyBorder="1"/>
    <xf numFmtId="43" fontId="15" fillId="5" borderId="0" xfId="1" applyFont="1" applyFill="1" applyBorder="1"/>
    <xf numFmtId="10" fontId="17" fillId="0" borderId="17" xfId="0" applyNumberFormat="1" applyFont="1" applyBorder="1"/>
    <xf numFmtId="0" fontId="0" fillId="0" borderId="5" xfId="0" applyBorder="1"/>
    <xf numFmtId="0" fontId="0" fillId="0" borderId="17" xfId="0" applyBorder="1"/>
    <xf numFmtId="43" fontId="0" fillId="5" borderId="0" xfId="1" applyFont="1" applyFill="1" applyBorder="1"/>
    <xf numFmtId="43" fontId="17" fillId="6" borderId="12" xfId="1" applyFont="1" applyFill="1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18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4" xfId="3" applyFont="1" applyFill="1" applyBorder="1" applyAlignment="1">
      <alignment wrapText="1"/>
    </xf>
    <xf numFmtId="0" fontId="0" fillId="0" borderId="4" xfId="3" applyFont="1" applyFill="1" applyBorder="1" applyAlignment="1">
      <alignment horizontal="left" wrapText="1"/>
    </xf>
    <xf numFmtId="0" fontId="15" fillId="5" borderId="4" xfId="3" applyFont="1" applyFill="1" applyBorder="1" applyAlignment="1">
      <alignment horizontal="left" wrapText="1"/>
    </xf>
    <xf numFmtId="0" fontId="17" fillId="0" borderId="16" xfId="0" applyFont="1" applyBorder="1" applyAlignment="1">
      <alignment horizontal="right" wrapText="1"/>
    </xf>
    <xf numFmtId="164" fontId="3" fillId="0" borderId="0" xfId="1" applyNumberFormat="1" applyFont="1"/>
    <xf numFmtId="0" fontId="20" fillId="0" borderId="0" xfId="0" applyFont="1"/>
    <xf numFmtId="164" fontId="0" fillId="0" borderId="0" xfId="0" applyNumberFormat="1"/>
    <xf numFmtId="0" fontId="0" fillId="0" borderId="0" xfId="0" applyNumberFormat="1"/>
    <xf numFmtId="43" fontId="0" fillId="2" borderId="0" xfId="0" applyNumberFormat="1" applyFill="1"/>
    <xf numFmtId="43" fontId="3" fillId="0" borderId="0" xfId="0" applyNumberFormat="1" applyFont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2.xml" Id="R2116748b4cbe495c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topLeftCell="A19" zoomScale="93" zoomScaleNormal="93" zoomScalePageLayoutView="93" workbookViewId="0">
      <selection activeCell="M25" sqref="M25"/>
    </sheetView>
  </sheetViews>
  <sheetFormatPr defaultColWidth="8.77734375" defaultRowHeight="14.4" x14ac:dyDescent="0.3"/>
  <cols>
    <col min="1" max="1" width="23.44140625" style="33" customWidth="1"/>
    <col min="2" max="4" width="9.44140625" customWidth="1"/>
    <col min="5" max="5" width="9.77734375" customWidth="1"/>
    <col min="6" max="6" width="7.44140625" bestFit="1" customWidth="1"/>
    <col min="7" max="7" width="9.6640625" customWidth="1"/>
    <col min="8" max="8" width="9.109375" customWidth="1"/>
    <col min="9" max="11" width="8.44140625" customWidth="1"/>
    <col min="12" max="13" width="9.109375" customWidth="1"/>
    <col min="14" max="14" width="10.109375" bestFit="1" customWidth="1"/>
  </cols>
  <sheetData>
    <row r="1" spans="1:14" ht="18" x14ac:dyDescent="0.35">
      <c r="A1" s="100" t="s">
        <v>131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thickBot="1" x14ac:dyDescent="0.35"/>
    <row r="3" spans="1:14" ht="15" thickBot="1" x14ac:dyDescent="0.35">
      <c r="A3" s="104" t="s">
        <v>48</v>
      </c>
      <c r="B3" s="105"/>
      <c r="C3" s="105"/>
      <c r="D3" s="106"/>
    </row>
    <row r="4" spans="1:14" x14ac:dyDescent="0.3">
      <c r="A4" s="72"/>
      <c r="B4" s="28" t="s">
        <v>28</v>
      </c>
      <c r="C4" s="44" t="s">
        <v>29</v>
      </c>
      <c r="D4" s="43" t="s">
        <v>30</v>
      </c>
    </row>
    <row r="5" spans="1:14" x14ac:dyDescent="0.3">
      <c r="A5" s="73"/>
      <c r="B5" s="16" t="s">
        <v>33</v>
      </c>
      <c r="C5" s="16" t="s">
        <v>33</v>
      </c>
      <c r="D5" s="17" t="s">
        <v>33</v>
      </c>
    </row>
    <row r="6" spans="1:14" x14ac:dyDescent="0.3">
      <c r="A6" s="74" t="s">
        <v>10</v>
      </c>
      <c r="B6" s="91">
        <f>'SB2K-Inchcape-RA'!N28</f>
        <v>0.31190859429259948</v>
      </c>
      <c r="C6" s="91">
        <f>'SB2K-NNG-RA'!N30</f>
        <v>0.78535479702321043</v>
      </c>
      <c r="D6" s="45">
        <f>'SB2K-Seagreen-RA'!N24</f>
        <v>0.15014688387912936</v>
      </c>
    </row>
    <row r="7" spans="1:14" x14ac:dyDescent="0.3">
      <c r="A7" s="75" t="s">
        <v>9</v>
      </c>
      <c r="B7" s="91">
        <f>'SB2K-Inchcape-RA'!N29</f>
        <v>0.3161820417155452</v>
      </c>
      <c r="C7" s="91">
        <f>'SB2K-NNG-RA'!N31</f>
        <v>5.4898266171564493E-2</v>
      </c>
      <c r="D7" s="45">
        <f>'SB2K-Seagreen-RA'!N25</f>
        <v>0.5268045029020989</v>
      </c>
    </row>
    <row r="8" spans="1:14" ht="28.8" x14ac:dyDescent="0.3">
      <c r="A8" s="74" t="s">
        <v>11</v>
      </c>
      <c r="B8" s="91">
        <f>'SB2K-Inchcape-RA'!N30</f>
        <v>4.8573598295033951E-2</v>
      </c>
      <c r="C8" s="91">
        <f>'SB2K-NNG-RA'!N32</f>
        <v>8.4255598716612451E-2</v>
      </c>
      <c r="D8" s="45">
        <f>'SB2K-Seagreen-RA'!N26</f>
        <v>4.040947594104221E-2</v>
      </c>
    </row>
    <row r="9" spans="1:14" x14ac:dyDescent="0.3">
      <c r="A9" s="76" t="s">
        <v>34</v>
      </c>
      <c r="B9" s="18">
        <f>'SB2K-Inchcape-RA'!M5</f>
        <v>0.67666423430317868</v>
      </c>
      <c r="C9" s="18">
        <f>'SB2K-NNG-RA'!M5</f>
        <v>0.92450866191138736</v>
      </c>
      <c r="D9" s="19">
        <f>'SB2K-Seagreen-RA'!M5</f>
        <v>0.7173608627222704</v>
      </c>
      <c r="I9" s="5"/>
      <c r="J9" s="5"/>
      <c r="K9" s="5"/>
      <c r="L9" s="5"/>
      <c r="M9" s="5"/>
      <c r="N9" s="5"/>
    </row>
    <row r="10" spans="1:14" x14ac:dyDescent="0.3">
      <c r="A10" s="77" t="s">
        <v>35</v>
      </c>
      <c r="B10" s="46">
        <f>'SB2K-Inchcape-RA'!M20</f>
        <v>0.32333576569682126</v>
      </c>
      <c r="C10" s="46">
        <f>'SB2K-NNG-RA'!M21</f>
        <v>7.5491338088612553E-2</v>
      </c>
      <c r="D10" s="47">
        <f>'SB2K-Seagreen-RA'!M17</f>
        <v>0.28263913727772971</v>
      </c>
      <c r="J10" s="5"/>
      <c r="K10" s="5"/>
      <c r="L10" s="5"/>
      <c r="M10" s="5"/>
      <c r="N10" s="5"/>
    </row>
    <row r="11" spans="1:14" ht="15" thickBot="1" x14ac:dyDescent="0.35">
      <c r="A11" s="78" t="s">
        <v>36</v>
      </c>
      <c r="B11" s="20">
        <f>B10+B9</f>
        <v>1</v>
      </c>
      <c r="C11" s="20">
        <f>C10+C9</f>
        <v>0.99999999999999989</v>
      </c>
      <c r="D11" s="21">
        <f>D10+D9</f>
        <v>1</v>
      </c>
    </row>
    <row r="12" spans="1:14" ht="6" customHeight="1" thickBot="1" x14ac:dyDescent="0.35"/>
    <row r="13" spans="1:14" x14ac:dyDescent="0.3">
      <c r="A13" s="101" t="s">
        <v>146</v>
      </c>
      <c r="B13" s="102"/>
      <c r="C13" s="102"/>
      <c r="D13" s="102"/>
      <c r="E13" s="102"/>
      <c r="F13" s="102"/>
      <c r="G13" s="103"/>
      <c r="H13" s="5"/>
    </row>
    <row r="14" spans="1:14" ht="28.8" x14ac:dyDescent="0.3">
      <c r="A14" s="62"/>
      <c r="B14" s="22" t="s">
        <v>28</v>
      </c>
      <c r="C14" s="22" t="s">
        <v>29</v>
      </c>
      <c r="D14" s="29" t="s">
        <v>53</v>
      </c>
      <c r="E14" s="30" t="s">
        <v>54</v>
      </c>
      <c r="F14" s="109" t="s">
        <v>37</v>
      </c>
      <c r="G14" s="110"/>
      <c r="H14" s="5"/>
    </row>
    <row r="15" spans="1:14" x14ac:dyDescent="0.3">
      <c r="A15" s="79" t="s">
        <v>147</v>
      </c>
      <c r="B15" s="18">
        <v>20</v>
      </c>
      <c r="C15" s="18">
        <v>4</v>
      </c>
      <c r="D15" s="18">
        <v>8.5399999999999991</v>
      </c>
      <c r="E15" s="68">
        <v>3.24</v>
      </c>
      <c r="F15" s="111">
        <f>SUM(B15:E15)</f>
        <v>35.78</v>
      </c>
      <c r="G15" s="112"/>
      <c r="H15" s="5"/>
      <c r="J15" s="5"/>
      <c r="K15" s="5"/>
      <c r="L15" s="5"/>
      <c r="M15" s="5"/>
      <c r="N15" s="5"/>
    </row>
    <row r="16" spans="1:14" x14ac:dyDescent="0.3">
      <c r="A16" s="79" t="s">
        <v>148</v>
      </c>
      <c r="B16" s="18">
        <v>0</v>
      </c>
      <c r="C16" s="18">
        <v>3</v>
      </c>
      <c r="D16" s="18">
        <v>0</v>
      </c>
      <c r="E16" s="68">
        <v>0</v>
      </c>
      <c r="F16" s="111">
        <f>SUM(B16:E16)</f>
        <v>3</v>
      </c>
      <c r="G16" s="112"/>
      <c r="H16" s="5"/>
      <c r="J16" s="5"/>
      <c r="K16" s="15"/>
      <c r="L16" s="5"/>
      <c r="M16" s="5"/>
      <c r="N16" s="5"/>
    </row>
    <row r="17" spans="1:14" ht="29.4" thickBot="1" x14ac:dyDescent="0.35">
      <c r="A17" s="78" t="s">
        <v>38</v>
      </c>
      <c r="B17" s="20"/>
      <c r="C17" s="20"/>
      <c r="D17" s="20"/>
      <c r="E17" s="69"/>
      <c r="F17" s="107"/>
      <c r="G17" s="108"/>
      <c r="H17" s="5"/>
      <c r="J17" s="5"/>
      <c r="K17" s="23"/>
      <c r="L17" s="5"/>
      <c r="M17" s="5"/>
      <c r="N17" s="5"/>
    </row>
    <row r="18" spans="1:14" ht="6" customHeight="1" thickBot="1" x14ac:dyDescent="0.35">
      <c r="A18" s="80"/>
      <c r="B18" s="24"/>
      <c r="C18" s="24"/>
      <c r="D18" s="24"/>
      <c r="E18" s="24"/>
      <c r="F18" s="25"/>
      <c r="G18" s="5"/>
      <c r="H18" s="5"/>
      <c r="I18" s="5"/>
      <c r="J18" s="23"/>
      <c r="K18" s="5"/>
      <c r="L18" s="5"/>
      <c r="M18" s="5"/>
      <c r="N18" s="5"/>
    </row>
    <row r="19" spans="1:14" x14ac:dyDescent="0.3">
      <c r="A19" s="97" t="s">
        <v>49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x14ac:dyDescent="0.3">
      <c r="A20" s="81"/>
      <c r="B20" s="18"/>
      <c r="C20" s="18"/>
      <c r="D20" s="18"/>
      <c r="E20" s="95" t="s">
        <v>56</v>
      </c>
      <c r="F20" s="96"/>
      <c r="G20" s="96"/>
      <c r="H20" s="96"/>
      <c r="I20" s="96"/>
      <c r="J20" s="96"/>
      <c r="K20" s="96"/>
      <c r="L20" s="96"/>
      <c r="M20" s="96"/>
      <c r="N20" s="96"/>
    </row>
    <row r="21" spans="1:14" x14ac:dyDescent="0.3">
      <c r="A21" s="81"/>
      <c r="B21" s="96" t="s">
        <v>39</v>
      </c>
      <c r="C21" s="96"/>
      <c r="D21" s="99"/>
      <c r="E21" s="92" t="s">
        <v>149</v>
      </c>
      <c r="F21" s="93"/>
      <c r="G21" s="93"/>
      <c r="H21" s="93"/>
      <c r="I21" s="94"/>
      <c r="J21" s="92" t="s">
        <v>150</v>
      </c>
      <c r="K21" s="93"/>
      <c r="L21" s="93"/>
      <c r="M21" s="93"/>
      <c r="N21" s="94"/>
    </row>
    <row r="22" spans="1:14" s="33" customFormat="1" ht="28.8" x14ac:dyDescent="0.3">
      <c r="A22" s="62"/>
      <c r="B22" s="29" t="s">
        <v>40</v>
      </c>
      <c r="C22" s="29" t="s">
        <v>29</v>
      </c>
      <c r="D22" s="30" t="s">
        <v>30</v>
      </c>
      <c r="E22" s="31" t="s">
        <v>40</v>
      </c>
      <c r="F22" s="31" t="s">
        <v>29</v>
      </c>
      <c r="G22" s="31" t="s">
        <v>53</v>
      </c>
      <c r="H22" s="31" t="s">
        <v>54</v>
      </c>
      <c r="I22" s="32" t="s">
        <v>41</v>
      </c>
      <c r="J22" s="31" t="s">
        <v>40</v>
      </c>
      <c r="K22" s="31" t="s">
        <v>29</v>
      </c>
      <c r="L22" s="31" t="s">
        <v>53</v>
      </c>
      <c r="M22" s="31" t="s">
        <v>54</v>
      </c>
      <c r="N22" s="32" t="s">
        <v>41</v>
      </c>
    </row>
    <row r="23" spans="1:14" x14ac:dyDescent="0.3">
      <c r="A23" s="83" t="s">
        <v>43</v>
      </c>
      <c r="B23" s="27">
        <f t="shared" ref="B23:D25" si="0">B6</f>
        <v>0.31190859429259948</v>
      </c>
      <c r="C23" s="27">
        <f t="shared" si="0"/>
        <v>0.78535479702321043</v>
      </c>
      <c r="D23" s="26">
        <f t="shared" si="0"/>
        <v>0.15014688387912936</v>
      </c>
      <c r="E23" s="64">
        <f>$B$15/1*B23</f>
        <v>6.2381718858519895</v>
      </c>
      <c r="F23" s="64">
        <f>$C$15/1*C23</f>
        <v>3.1414191880928417</v>
      </c>
      <c r="G23" s="64">
        <f t="shared" ref="G23:G26" si="1">$D$15/1*D23</f>
        <v>1.2822543883277646</v>
      </c>
      <c r="H23" s="64">
        <f>$E$15/1*D23</f>
        <v>0.48647590376837918</v>
      </c>
      <c r="I23" s="65">
        <f>SUM(E23:H23)</f>
        <v>11.148321366040975</v>
      </c>
      <c r="J23" s="64">
        <f>B$16*B23</f>
        <v>0</v>
      </c>
      <c r="K23" s="64">
        <f>C$16*C23</f>
        <v>2.3560643910696313</v>
      </c>
      <c r="L23" s="64">
        <f>D$16*D23</f>
        <v>0</v>
      </c>
      <c r="M23" s="64">
        <f>E$16*E23</f>
        <v>0</v>
      </c>
      <c r="N23" s="65">
        <f>SUM(J23:M23)</f>
        <v>2.3560643910696313</v>
      </c>
    </row>
    <row r="24" spans="1:14" x14ac:dyDescent="0.3">
      <c r="A24" s="82" t="s">
        <v>42</v>
      </c>
      <c r="B24" s="27">
        <f t="shared" si="0"/>
        <v>0.3161820417155452</v>
      </c>
      <c r="C24" s="27">
        <f t="shared" si="0"/>
        <v>5.4898266171564493E-2</v>
      </c>
      <c r="D24" s="26">
        <f t="shared" si="0"/>
        <v>0.5268045029020989</v>
      </c>
      <c r="E24" s="64">
        <f>$B$15/1*B24</f>
        <v>6.3236408343109041</v>
      </c>
      <c r="F24" s="64">
        <f>$C$15/1*C24</f>
        <v>0.21959306468625797</v>
      </c>
      <c r="G24" s="64">
        <f t="shared" si="1"/>
        <v>4.4989104547839238</v>
      </c>
      <c r="H24" s="64">
        <f>$E$15/1*D24</f>
        <v>1.7068465894028007</v>
      </c>
      <c r="I24" s="65">
        <f t="shared" ref="I24:I27" si="2">SUM(E24:H24)</f>
        <v>12.748990943183887</v>
      </c>
      <c r="J24" s="64">
        <f t="shared" ref="J24:J25" si="3">B$16*B24</f>
        <v>0</v>
      </c>
      <c r="K24" s="64">
        <f t="shared" ref="K24:K25" si="4">C$16*C24</f>
        <v>0.16469479851469349</v>
      </c>
      <c r="L24" s="64">
        <f t="shared" ref="L24:L25" si="5">D$16*D24</f>
        <v>0</v>
      </c>
      <c r="M24" s="64">
        <f t="shared" ref="M24:M25" si="6">E$16*E24</f>
        <v>0</v>
      </c>
      <c r="N24" s="65">
        <f t="shared" ref="N24:N27" si="7">SUM(J24:M24)</f>
        <v>0.16469479851469349</v>
      </c>
    </row>
    <row r="25" spans="1:14" ht="28.8" x14ac:dyDescent="0.3">
      <c r="A25" s="83" t="s">
        <v>44</v>
      </c>
      <c r="B25" s="27">
        <f t="shared" si="0"/>
        <v>4.8573598295033951E-2</v>
      </c>
      <c r="C25" s="27">
        <f t="shared" si="0"/>
        <v>8.4255598716612451E-2</v>
      </c>
      <c r="D25" s="26">
        <f t="shared" si="0"/>
        <v>4.040947594104221E-2</v>
      </c>
      <c r="E25" s="64">
        <f>$B$15/1*B25</f>
        <v>0.97147196590067897</v>
      </c>
      <c r="F25" s="64">
        <f>$C$15/1*C25</f>
        <v>0.3370223948664498</v>
      </c>
      <c r="G25" s="64">
        <f t="shared" si="1"/>
        <v>0.34509692453650043</v>
      </c>
      <c r="H25" s="64">
        <f>$E$15/1*D25</f>
        <v>0.13092670204897677</v>
      </c>
      <c r="I25" s="65">
        <f t="shared" si="2"/>
        <v>1.784517987352606</v>
      </c>
      <c r="J25" s="64">
        <f t="shared" si="3"/>
        <v>0</v>
      </c>
      <c r="K25" s="64">
        <f t="shared" si="4"/>
        <v>0.25276679614983733</v>
      </c>
      <c r="L25" s="64">
        <f t="shared" si="5"/>
        <v>0</v>
      </c>
      <c r="M25" s="64">
        <f t="shared" si="6"/>
        <v>0</v>
      </c>
      <c r="N25" s="65">
        <f t="shared" si="7"/>
        <v>0.25276679614983733</v>
      </c>
    </row>
    <row r="26" spans="1:14" x14ac:dyDescent="0.3">
      <c r="A26" s="84" t="s">
        <v>45</v>
      </c>
      <c r="B26" s="60">
        <f>B10</f>
        <v>0.32333576569682126</v>
      </c>
      <c r="C26" s="60">
        <f>C10</f>
        <v>7.5491338088612553E-2</v>
      </c>
      <c r="D26" s="61">
        <f>D10</f>
        <v>0.28263913727772971</v>
      </c>
      <c r="E26" s="66">
        <f>$B$15/1*B26</f>
        <v>6.4667153139364251</v>
      </c>
      <c r="F26" s="66">
        <f>$C$15/1*C26</f>
        <v>0.30196535235445021</v>
      </c>
      <c r="G26" s="70">
        <f t="shared" si="1"/>
        <v>2.4137382323518115</v>
      </c>
      <c r="H26" s="66">
        <f>$E$15/1*D26</f>
        <v>0.91575080477984439</v>
      </c>
      <c r="I26" s="65">
        <f t="shared" si="2"/>
        <v>10.098169703422531</v>
      </c>
      <c r="J26" s="66">
        <f>B$16/1*B26</f>
        <v>0</v>
      </c>
      <c r="K26" s="66">
        <f>C$16/1*C26</f>
        <v>0.22647401426583766</v>
      </c>
      <c r="L26" s="70">
        <f t="shared" ref="L26" si="8">$D$16/1*D26</f>
        <v>0</v>
      </c>
      <c r="M26" s="66">
        <f>E$16/1*D26</f>
        <v>0</v>
      </c>
      <c r="N26" s="66"/>
    </row>
    <row r="27" spans="1:14" ht="15" thickBot="1" x14ac:dyDescent="0.35">
      <c r="A27" s="85" t="s">
        <v>55</v>
      </c>
      <c r="B27" s="63">
        <f t="shared" ref="B27:H27" si="9">SUM(B23:B26)</f>
        <v>0.99999999999999978</v>
      </c>
      <c r="C27" s="63">
        <f t="shared" si="9"/>
        <v>0.99999999999999989</v>
      </c>
      <c r="D27" s="67">
        <f t="shared" si="9"/>
        <v>1</v>
      </c>
      <c r="E27" s="71">
        <f t="shared" si="9"/>
        <v>20</v>
      </c>
      <c r="F27" s="71">
        <f t="shared" si="9"/>
        <v>3.9999999999999996</v>
      </c>
      <c r="G27" s="71">
        <f t="shared" si="9"/>
        <v>8.5400000000000009</v>
      </c>
      <c r="H27" s="71">
        <f t="shared" si="9"/>
        <v>3.2400000000000011</v>
      </c>
      <c r="I27" s="65">
        <f t="shared" si="2"/>
        <v>35.78</v>
      </c>
      <c r="J27" s="71">
        <f>SUM(J23:J26)</f>
        <v>0</v>
      </c>
      <c r="K27" s="71">
        <f>SUM(K23:K26)</f>
        <v>2.9999999999999996</v>
      </c>
      <c r="L27" s="71">
        <f>SUM(L23:L26)</f>
        <v>0</v>
      </c>
      <c r="M27" s="71">
        <f>SUM(M23:M26)</f>
        <v>0</v>
      </c>
      <c r="N27" s="65">
        <f t="shared" si="7"/>
        <v>2.9999999999999996</v>
      </c>
    </row>
  </sheetData>
  <mergeCells count="12">
    <mergeCell ref="A1:N1"/>
    <mergeCell ref="A13:G13"/>
    <mergeCell ref="A3:D3"/>
    <mergeCell ref="F17:G17"/>
    <mergeCell ref="F14:G14"/>
    <mergeCell ref="F15:G15"/>
    <mergeCell ref="F16:G16"/>
    <mergeCell ref="J21:N21"/>
    <mergeCell ref="E21:I21"/>
    <mergeCell ref="E20:N20"/>
    <mergeCell ref="A19:N19"/>
    <mergeCell ref="B21:D2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>
      <pane ySplit="1" topLeftCell="A14" activePane="bottomLeft" state="frozen"/>
      <selection pane="bottomLeft" activeCell="B28" sqref="B28:B30"/>
    </sheetView>
  </sheetViews>
  <sheetFormatPr defaultColWidth="8.77734375" defaultRowHeight="14.4" x14ac:dyDescent="0.3"/>
  <cols>
    <col min="1" max="1" width="30.6640625" bestFit="1" customWidth="1"/>
    <col min="2" max="2" width="11.5546875" bestFit="1" customWidth="1"/>
    <col min="3" max="3" width="13.5546875" bestFit="1" customWidth="1"/>
    <col min="4" max="4" width="10.5546875" bestFit="1" customWidth="1"/>
    <col min="5" max="10" width="8.88671875" bestFit="1" customWidth="1"/>
    <col min="11" max="11" width="9.33203125" bestFit="1" customWidth="1"/>
    <col min="12" max="13" width="8.88671875" bestFit="1" customWidth="1"/>
  </cols>
  <sheetData>
    <row r="1" spans="1:14" ht="57.6" x14ac:dyDescent="0.3">
      <c r="A1" s="1" t="s">
        <v>130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136</v>
      </c>
      <c r="G1" s="1" t="s">
        <v>137</v>
      </c>
      <c r="H1" s="1" t="s">
        <v>4</v>
      </c>
      <c r="I1" s="1" t="s">
        <v>5</v>
      </c>
      <c r="J1" s="1" t="s">
        <v>6</v>
      </c>
      <c r="K1" s="1" t="s">
        <v>46</v>
      </c>
      <c r="L1" s="1" t="s">
        <v>7</v>
      </c>
      <c r="M1" s="2" t="s">
        <v>134</v>
      </c>
      <c r="N1" s="1" t="s">
        <v>135</v>
      </c>
    </row>
    <row r="2" spans="1:14" x14ac:dyDescent="0.3">
      <c r="A2" s="3" t="s">
        <v>10</v>
      </c>
      <c r="B2" s="7">
        <v>4713</v>
      </c>
      <c r="C2">
        <v>33.22</v>
      </c>
      <c r="D2" s="34">
        <f>C2*C2</f>
        <v>1103.5683999999999</v>
      </c>
      <c r="E2">
        <v>0.45400000000000001</v>
      </c>
      <c r="F2">
        <f>1-E2</f>
        <v>0.54600000000000004</v>
      </c>
      <c r="G2">
        <f>F2/F$21</f>
        <v>6.4577173270254307E-2</v>
      </c>
      <c r="H2">
        <f>B2/$B$21</f>
        <v>0.25099856207061833</v>
      </c>
      <c r="I2">
        <f>$D$21/D2</f>
        <v>42.435518541487781</v>
      </c>
      <c r="J2">
        <f>E2/$E$21</f>
        <v>5.3130485664131075E-2</v>
      </c>
      <c r="K2">
        <v>2001</v>
      </c>
      <c r="L2">
        <f>H2*I2*J2</f>
        <v>0.56590630510521489</v>
      </c>
      <c r="M2" s="4">
        <f>L2/$L$21</f>
        <v>0.23762836875560889</v>
      </c>
    </row>
    <row r="3" spans="1:14" x14ac:dyDescent="0.3">
      <c r="A3" s="3" t="s">
        <v>9</v>
      </c>
      <c r="B3" s="7">
        <v>6425</v>
      </c>
      <c r="C3">
        <v>34</v>
      </c>
      <c r="D3" s="34">
        <f>C3*C3</f>
        <v>1156</v>
      </c>
      <c r="E3">
        <v>0.54600000000000004</v>
      </c>
      <c r="F3">
        <f t="shared" ref="F3:F19" si="0">1-E3</f>
        <v>0.45399999999999996</v>
      </c>
      <c r="G3">
        <f t="shared" ref="G3:G19" si="1">F3/F$21</f>
        <v>5.3696037847427561E-2</v>
      </c>
      <c r="H3">
        <f>B3/$B$21</f>
        <v>0.34217393619854075</v>
      </c>
      <c r="I3">
        <f>$D$21/D3</f>
        <v>40.510810813148794</v>
      </c>
      <c r="J3">
        <f>E3/$E$21</f>
        <v>6.3897015798712709E-2</v>
      </c>
      <c r="K3">
        <v>2000</v>
      </c>
      <c r="L3">
        <f>H3*I3*J3</f>
        <v>0.88572404945735805</v>
      </c>
      <c r="M3" s="4">
        <f>L3/$L$21</f>
        <v>0.37192227607542294</v>
      </c>
    </row>
    <row r="4" spans="1:14" x14ac:dyDescent="0.3">
      <c r="A4" s="3" t="s">
        <v>11</v>
      </c>
      <c r="B4" s="7">
        <v>3157</v>
      </c>
      <c r="C4">
        <v>56.31</v>
      </c>
      <c r="D4" s="34">
        <f>C4*C4</f>
        <v>3170.8161000000005</v>
      </c>
      <c r="E4">
        <v>0.55000000000000004</v>
      </c>
      <c r="F4">
        <f t="shared" si="0"/>
        <v>0.44999999999999996</v>
      </c>
      <c r="G4">
        <f t="shared" si="1"/>
        <v>5.3222945002956837E-2</v>
      </c>
      <c r="H4">
        <f>B4/$B$21</f>
        <v>0.1681312243702402</v>
      </c>
      <c r="I4">
        <f>$D$21/D4</f>
        <v>14.769225279258547</v>
      </c>
      <c r="J4">
        <f>E4/$E$21</f>
        <v>6.4365125804564077E-2</v>
      </c>
      <c r="K4">
        <v>2000</v>
      </c>
      <c r="L4">
        <f>H4*I4*J4</f>
        <v>0.15982941615692256</v>
      </c>
      <c r="M4" s="4">
        <f>L4/$L$21</f>
        <v>6.7113589472146837E-2</v>
      </c>
    </row>
    <row r="5" spans="1:14" x14ac:dyDescent="0.3">
      <c r="A5" s="35" t="s">
        <v>31</v>
      </c>
      <c r="B5" s="36">
        <f>SUM(B2:B4)</f>
        <v>14295</v>
      </c>
      <c r="C5" s="35"/>
      <c r="D5" s="37"/>
      <c r="E5" s="35"/>
      <c r="F5" s="35"/>
      <c r="G5" s="35"/>
      <c r="H5" s="35"/>
      <c r="I5" s="35"/>
      <c r="J5" s="35"/>
      <c r="K5" s="35"/>
      <c r="L5" s="35"/>
      <c r="M5" s="35">
        <f>SUM(M2:M4)</f>
        <v>0.67666423430317868</v>
      </c>
    </row>
    <row r="6" spans="1:14" x14ac:dyDescent="0.3">
      <c r="A6" s="5" t="s">
        <v>12</v>
      </c>
      <c r="B6" s="7">
        <v>48</v>
      </c>
      <c r="C6">
        <v>70.56</v>
      </c>
      <c r="D6" s="34">
        <f t="shared" ref="D6:D19" si="2">C6*C6</f>
        <v>4978.7136</v>
      </c>
      <c r="E6">
        <v>0.56499999999999995</v>
      </c>
      <c r="F6">
        <f t="shared" si="0"/>
        <v>0.43500000000000005</v>
      </c>
      <c r="G6">
        <f t="shared" si="1"/>
        <v>5.1448846836191622E-2</v>
      </c>
      <c r="H6">
        <f t="shared" ref="H6:H19" si="3">B6/$B$21</f>
        <v>2.5563189007828725E-3</v>
      </c>
      <c r="I6">
        <f t="shared" ref="I6:I19" si="4">$D$21/D6</f>
        <v>9.4061440489366568</v>
      </c>
      <c r="J6">
        <f t="shared" ref="J6:J19" si="5">E6/$E$21</f>
        <v>6.6120538326506717E-2</v>
      </c>
      <c r="K6">
        <v>2000</v>
      </c>
      <c r="L6">
        <f t="shared" ref="L6:L19" si="6">H6*I6*J6</f>
        <v>1.5898752084163202E-3</v>
      </c>
      <c r="M6" s="57">
        <f t="shared" ref="M6:M19" si="7">L6/$L$21</f>
        <v>6.6760071215448346E-4</v>
      </c>
    </row>
    <row r="7" spans="1:14" x14ac:dyDescent="0.3">
      <c r="A7" s="5" t="s">
        <v>13</v>
      </c>
      <c r="B7" s="7">
        <v>54</v>
      </c>
      <c r="C7">
        <v>49.14</v>
      </c>
      <c r="D7" s="34">
        <f t="shared" si="2"/>
        <v>2414.7395999999999</v>
      </c>
      <c r="E7">
        <v>0.55400000000000005</v>
      </c>
      <c r="F7">
        <f t="shared" si="0"/>
        <v>0.44599999999999995</v>
      </c>
      <c r="G7">
        <f t="shared" si="1"/>
        <v>5.2749852158486106E-2</v>
      </c>
      <c r="H7">
        <f t="shared" si="3"/>
        <v>2.8758587633807317E-3</v>
      </c>
      <c r="I7">
        <f t="shared" si="4"/>
        <v>19.393601405302668</v>
      </c>
      <c r="J7">
        <f t="shared" si="5"/>
        <v>6.483323581041546E-2</v>
      </c>
      <c r="K7">
        <v>1999</v>
      </c>
      <c r="L7">
        <f t="shared" si="6"/>
        <v>3.6159608238085098E-3</v>
      </c>
      <c r="M7" s="57">
        <f t="shared" si="7"/>
        <v>1.5183694973782786E-3</v>
      </c>
    </row>
    <row r="8" spans="1:14" x14ac:dyDescent="0.3">
      <c r="A8" s="5" t="s">
        <v>14</v>
      </c>
      <c r="B8" s="7">
        <v>1962</v>
      </c>
      <c r="C8">
        <v>30.36</v>
      </c>
      <c r="D8" s="34">
        <f t="shared" si="2"/>
        <v>921.7296</v>
      </c>
      <c r="E8">
        <v>0.52900000000000003</v>
      </c>
      <c r="F8">
        <f t="shared" si="0"/>
        <v>0.47099999999999997</v>
      </c>
      <c r="G8">
        <f t="shared" si="1"/>
        <v>5.5706682436428158E-2</v>
      </c>
      <c r="H8">
        <f t="shared" si="3"/>
        <v>0.10448953506949991</v>
      </c>
      <c r="I8">
        <f t="shared" si="4"/>
        <v>50.8071969263003</v>
      </c>
      <c r="J8">
        <f t="shared" si="5"/>
        <v>6.1907548273844357E-2</v>
      </c>
      <c r="K8">
        <v>1999</v>
      </c>
      <c r="L8">
        <f t="shared" si="6"/>
        <v>0.32865605426240108</v>
      </c>
      <c r="M8" s="57">
        <f t="shared" si="7"/>
        <v>0.13800518098399531</v>
      </c>
    </row>
    <row r="9" spans="1:14" x14ac:dyDescent="0.3">
      <c r="A9" s="5" t="s">
        <v>15</v>
      </c>
      <c r="B9" s="7">
        <v>377</v>
      </c>
      <c r="C9">
        <v>62.84</v>
      </c>
      <c r="D9" s="34">
        <f t="shared" si="2"/>
        <v>3948.8656000000005</v>
      </c>
      <c r="E9">
        <v>0.56799999999999995</v>
      </c>
      <c r="F9">
        <f t="shared" si="0"/>
        <v>0.43200000000000005</v>
      </c>
      <c r="G9">
        <f t="shared" si="1"/>
        <v>5.1094027202838573E-2</v>
      </c>
      <c r="H9">
        <f t="shared" si="3"/>
        <v>2.0077754699898812E-2</v>
      </c>
      <c r="I9">
        <f t="shared" si="4"/>
        <v>11.859227951440028</v>
      </c>
      <c r="J9">
        <f t="shared" si="5"/>
        <v>6.6471620830895251E-2</v>
      </c>
      <c r="K9">
        <v>2000</v>
      </c>
      <c r="L9">
        <f t="shared" si="6"/>
        <v>1.5827336268211062E-2</v>
      </c>
      <c r="M9" s="57">
        <f t="shared" si="7"/>
        <v>6.6460190763596829E-3</v>
      </c>
    </row>
    <row r="10" spans="1:14" x14ac:dyDescent="0.3">
      <c r="A10" s="5" t="s">
        <v>26</v>
      </c>
      <c r="B10" s="7">
        <v>260</v>
      </c>
      <c r="C10">
        <v>72.42</v>
      </c>
      <c r="D10" s="34">
        <f t="shared" si="2"/>
        <v>5244.6563999999998</v>
      </c>
      <c r="E10">
        <v>0.63100000000000001</v>
      </c>
      <c r="F10">
        <f t="shared" si="0"/>
        <v>0.36899999999999999</v>
      </c>
      <c r="G10">
        <f t="shared" si="1"/>
        <v>4.3642814902424609E-2</v>
      </c>
      <c r="H10">
        <f t="shared" si="3"/>
        <v>1.384672737924056E-2</v>
      </c>
      <c r="I10">
        <f t="shared" si="4"/>
        <v>8.9291831014897376</v>
      </c>
      <c r="J10">
        <f t="shared" si="5"/>
        <v>7.3844353423054412E-2</v>
      </c>
      <c r="K10">
        <v>2000</v>
      </c>
      <c r="L10">
        <f t="shared" si="6"/>
        <v>9.1301132081082741E-3</v>
      </c>
      <c r="M10" s="57">
        <f t="shared" si="7"/>
        <v>3.8338040919926402E-3</v>
      </c>
    </row>
    <row r="11" spans="1:14" x14ac:dyDescent="0.3">
      <c r="A11" s="5" t="s">
        <v>16</v>
      </c>
      <c r="B11" s="7">
        <v>337</v>
      </c>
      <c r="C11">
        <v>53.41</v>
      </c>
      <c r="D11" s="34">
        <f t="shared" si="2"/>
        <v>2852.6280999999994</v>
      </c>
      <c r="E11">
        <v>0.56999999999999995</v>
      </c>
      <c r="F11">
        <f t="shared" si="0"/>
        <v>0.43000000000000005</v>
      </c>
      <c r="G11">
        <f t="shared" si="1"/>
        <v>5.0857480780603211E-2</v>
      </c>
      <c r="H11">
        <f t="shared" si="3"/>
        <v>1.7947488949246419E-2</v>
      </c>
      <c r="I11">
        <f t="shared" si="4"/>
        <v>16.416615015465919</v>
      </c>
      <c r="J11">
        <f t="shared" si="5"/>
        <v>6.6705675833820949E-2</v>
      </c>
      <c r="K11">
        <v>1999</v>
      </c>
      <c r="L11">
        <f t="shared" si="6"/>
        <v>1.9653961316236538E-2</v>
      </c>
      <c r="M11" s="57">
        <f t="shared" si="7"/>
        <v>8.2528480863891529E-3</v>
      </c>
    </row>
    <row r="12" spans="1:14" x14ac:dyDescent="0.3">
      <c r="A12" s="5" t="s">
        <v>17</v>
      </c>
      <c r="B12" s="7">
        <v>56</v>
      </c>
      <c r="C12">
        <v>56.87</v>
      </c>
      <c r="D12" s="34">
        <f t="shared" si="2"/>
        <v>3234.1968999999999</v>
      </c>
      <c r="E12">
        <v>0.58199999999999996</v>
      </c>
      <c r="F12">
        <f t="shared" si="0"/>
        <v>0.41800000000000004</v>
      </c>
      <c r="G12">
        <f t="shared" si="1"/>
        <v>4.9438202247191025E-2</v>
      </c>
      <c r="H12">
        <f t="shared" si="3"/>
        <v>2.9823720509133513E-3</v>
      </c>
      <c r="I12">
        <f t="shared" si="4"/>
        <v>14.479791660179998</v>
      </c>
      <c r="J12">
        <f t="shared" si="5"/>
        <v>6.8110005851375069E-2</v>
      </c>
      <c r="K12">
        <v>1999</v>
      </c>
      <c r="L12">
        <f t="shared" si="6"/>
        <v>2.9412710711661546E-3</v>
      </c>
      <c r="M12" s="57">
        <f t="shared" si="7"/>
        <v>1.2350621302572851E-3</v>
      </c>
    </row>
    <row r="13" spans="1:14" x14ac:dyDescent="0.3">
      <c r="A13" s="5" t="s">
        <v>18</v>
      </c>
      <c r="B13" s="7">
        <v>11</v>
      </c>
      <c r="C13">
        <v>79.540000000000006</v>
      </c>
      <c r="D13" s="34">
        <f t="shared" si="2"/>
        <v>6326.6116000000011</v>
      </c>
      <c r="E13">
        <v>0.16800000000000001</v>
      </c>
      <c r="F13">
        <f t="shared" si="0"/>
        <v>0.83199999999999996</v>
      </c>
      <c r="G13">
        <f t="shared" si="1"/>
        <v>9.8403311649911313E-2</v>
      </c>
      <c r="H13">
        <f t="shared" si="3"/>
        <v>5.8582308142940832E-4</v>
      </c>
      <c r="I13">
        <f t="shared" si="4"/>
        <v>7.4021451387975192</v>
      </c>
      <c r="J13">
        <f t="shared" si="5"/>
        <v>1.9660620245757755E-2</v>
      </c>
      <c r="K13">
        <v>1999</v>
      </c>
      <c r="L13">
        <f t="shared" si="6"/>
        <v>8.5255280947791354E-5</v>
      </c>
      <c r="M13" s="57">
        <f t="shared" si="7"/>
        <v>3.5799341969971824E-5</v>
      </c>
    </row>
    <row r="14" spans="1:14" x14ac:dyDescent="0.3">
      <c r="A14" s="5" t="s">
        <v>19</v>
      </c>
      <c r="B14" s="7">
        <v>71</v>
      </c>
      <c r="C14">
        <v>70.86</v>
      </c>
      <c r="D14" s="34">
        <f t="shared" si="2"/>
        <v>5021.1395999999995</v>
      </c>
      <c r="E14">
        <v>0.215</v>
      </c>
      <c r="F14">
        <f t="shared" si="0"/>
        <v>0.78500000000000003</v>
      </c>
      <c r="G14">
        <f t="shared" si="1"/>
        <v>9.2844470727380266E-2</v>
      </c>
      <c r="H14">
        <f t="shared" si="3"/>
        <v>3.7812217074079993E-3</v>
      </c>
      <c r="I14">
        <f t="shared" si="4"/>
        <v>9.3266670578129336</v>
      </c>
      <c r="J14">
        <f t="shared" si="5"/>
        <v>2.516091281451141E-2</v>
      </c>
      <c r="K14">
        <v>1999</v>
      </c>
      <c r="L14">
        <f t="shared" si="6"/>
        <v>8.8732968126453053E-4</v>
      </c>
      <c r="M14" s="57">
        <f t="shared" si="7"/>
        <v>3.7259649310343357E-4</v>
      </c>
    </row>
    <row r="15" spans="1:14" x14ac:dyDescent="0.3">
      <c r="A15" s="5" t="s">
        <v>20</v>
      </c>
      <c r="B15" s="7">
        <v>34</v>
      </c>
      <c r="C15">
        <v>17.8</v>
      </c>
      <c r="D15" s="34">
        <f t="shared" si="2"/>
        <v>316.84000000000003</v>
      </c>
      <c r="E15">
        <v>0.495</v>
      </c>
      <c r="F15">
        <f t="shared" si="0"/>
        <v>0.505</v>
      </c>
      <c r="G15">
        <f t="shared" si="1"/>
        <v>5.9727971614429345E-2</v>
      </c>
      <c r="H15">
        <f t="shared" si="3"/>
        <v>1.8107258880545349E-3</v>
      </c>
      <c r="I15">
        <f t="shared" si="4"/>
        <v>147.80487722509784</v>
      </c>
      <c r="J15">
        <f t="shared" si="5"/>
        <v>5.7928613224107667E-2</v>
      </c>
      <c r="K15">
        <v>2000</v>
      </c>
      <c r="L15">
        <f t="shared" si="6"/>
        <v>1.5503673282415724E-2</v>
      </c>
      <c r="M15" s="57">
        <f t="shared" si="7"/>
        <v>6.5101105228636824E-3</v>
      </c>
    </row>
    <row r="16" spans="1:14" x14ac:dyDescent="0.3">
      <c r="A16" s="5" t="s">
        <v>21</v>
      </c>
      <c r="B16" s="7">
        <v>58</v>
      </c>
      <c r="C16">
        <v>45.6</v>
      </c>
      <c r="D16" s="34">
        <f t="shared" si="2"/>
        <v>2079.36</v>
      </c>
      <c r="E16">
        <v>0.54500000000000004</v>
      </c>
      <c r="F16">
        <f t="shared" si="0"/>
        <v>0.45499999999999996</v>
      </c>
      <c r="G16">
        <f t="shared" si="1"/>
        <v>5.3814311058545249E-2</v>
      </c>
      <c r="H16">
        <f t="shared" si="3"/>
        <v>3.0888853384459713E-3</v>
      </c>
      <c r="I16">
        <f t="shared" si="4"/>
        <v>22.521591884041243</v>
      </c>
      <c r="J16">
        <f t="shared" si="5"/>
        <v>6.3779988297249859E-2</v>
      </c>
      <c r="K16">
        <v>2002</v>
      </c>
      <c r="L16">
        <f t="shared" si="6"/>
        <v>4.4369578886071315E-3</v>
      </c>
      <c r="M16" s="57">
        <f t="shared" si="7"/>
        <v>1.8631124194861482E-3</v>
      </c>
    </row>
    <row r="17" spans="1:14" x14ac:dyDescent="0.3">
      <c r="A17" s="5" t="s">
        <v>22</v>
      </c>
      <c r="B17" s="7">
        <v>112</v>
      </c>
      <c r="C17">
        <v>47.94</v>
      </c>
      <c r="D17" s="34">
        <f t="shared" si="2"/>
        <v>2298.2435999999998</v>
      </c>
      <c r="E17">
        <v>0.54900000000000004</v>
      </c>
      <c r="F17">
        <f t="shared" si="0"/>
        <v>0.45099999999999996</v>
      </c>
      <c r="G17">
        <f t="shared" si="1"/>
        <v>5.3341218214074518E-2</v>
      </c>
      <c r="H17">
        <f t="shared" si="3"/>
        <v>5.9647441018267026E-3</v>
      </c>
      <c r="I17">
        <f t="shared" si="4"/>
        <v>20.376646452969567</v>
      </c>
      <c r="J17">
        <f t="shared" si="5"/>
        <v>6.4248098303101228E-2</v>
      </c>
      <c r="K17">
        <v>1999</v>
      </c>
      <c r="L17">
        <f t="shared" si="6"/>
        <v>7.8088090670803585E-3</v>
      </c>
      <c r="M17" s="57">
        <f t="shared" si="7"/>
        <v>3.2789784170885257E-3</v>
      </c>
    </row>
    <row r="18" spans="1:14" x14ac:dyDescent="0.3">
      <c r="A18" s="5" t="s">
        <v>23</v>
      </c>
      <c r="B18" s="49">
        <v>578</v>
      </c>
      <c r="C18">
        <v>38.89</v>
      </c>
      <c r="D18" s="34">
        <f t="shared" si="2"/>
        <v>1512.4321</v>
      </c>
      <c r="E18">
        <v>0.53300000000000003</v>
      </c>
      <c r="F18">
        <f t="shared" si="0"/>
        <v>0.46699999999999997</v>
      </c>
      <c r="G18">
        <f t="shared" si="1"/>
        <v>5.5233589591957427E-2</v>
      </c>
      <c r="H18">
        <f t="shared" si="3"/>
        <v>3.0782340096927093E-2</v>
      </c>
      <c r="I18">
        <f t="shared" si="4"/>
        <v>30.963702304387748</v>
      </c>
      <c r="J18">
        <f t="shared" si="5"/>
        <v>6.2375658279695732E-2</v>
      </c>
      <c r="K18">
        <v>1999</v>
      </c>
      <c r="L18">
        <f t="shared" si="6"/>
        <v>5.9452436464789413E-2</v>
      </c>
      <c r="M18" s="57">
        <f t="shared" si="7"/>
        <v>2.4964530997843799E-2</v>
      </c>
    </row>
    <row r="19" spans="1:14" x14ac:dyDescent="0.3">
      <c r="A19" s="5" t="s">
        <v>24</v>
      </c>
      <c r="B19" s="49">
        <v>524</v>
      </c>
      <c r="C19">
        <v>15.81</v>
      </c>
      <c r="D19" s="34">
        <f t="shared" si="2"/>
        <v>249.95610000000002</v>
      </c>
      <c r="E19">
        <v>0.49099999999999999</v>
      </c>
      <c r="F19">
        <f t="shared" si="0"/>
        <v>0.50900000000000001</v>
      </c>
      <c r="G19">
        <f t="shared" si="1"/>
        <v>6.0201064458900069E-2</v>
      </c>
      <c r="H19">
        <f t="shared" si="3"/>
        <v>2.7906481333546361E-2</v>
      </c>
      <c r="I19">
        <f t="shared" si="4"/>
        <v>187.35488871845897</v>
      </c>
      <c r="J19">
        <f t="shared" si="5"/>
        <v>5.7460503218256291E-2</v>
      </c>
      <c r="K19">
        <v>2000</v>
      </c>
      <c r="L19">
        <f t="shared" si="6"/>
        <v>0.30042739743033736</v>
      </c>
      <c r="M19" s="57">
        <f t="shared" si="7"/>
        <v>0.12615175292593891</v>
      </c>
    </row>
    <row r="20" spans="1:14" x14ac:dyDescent="0.3">
      <c r="A20" s="38" t="s">
        <v>32</v>
      </c>
      <c r="B20" s="39">
        <f>SUM(B6:B19)</f>
        <v>4482</v>
      </c>
      <c r="C20" s="38"/>
      <c r="D20" s="40"/>
      <c r="E20" s="38"/>
      <c r="F20" s="38"/>
      <c r="G20" s="38"/>
      <c r="H20" s="38"/>
      <c r="I20" s="38"/>
      <c r="J20" s="38"/>
      <c r="K20" s="38"/>
      <c r="L20" s="38"/>
      <c r="M20" s="59">
        <f>SUM(M6:M19)</f>
        <v>0.32333576569682126</v>
      </c>
    </row>
    <row r="21" spans="1:14" x14ac:dyDescent="0.3">
      <c r="A21" s="13" t="s">
        <v>25</v>
      </c>
      <c r="B21" s="7">
        <f>SUM(B5,B20)</f>
        <v>18777</v>
      </c>
      <c r="C21">
        <f>SUM(C2:C4,C6:C19)</f>
        <v>835.57</v>
      </c>
      <c r="D21">
        <f>SUM(D2:D4,D6:D19)</f>
        <v>46830.497300000003</v>
      </c>
      <c r="E21">
        <f>SUM(E2:E4,E6:E19)</f>
        <v>8.5449999999999999</v>
      </c>
      <c r="F21">
        <f t="shared" ref="F21:G21" si="8">SUM(F2:F4,F6:F19)</f>
        <v>8.4549999999999983</v>
      </c>
      <c r="G21">
        <f t="shared" si="8"/>
        <v>1.0000000000000002</v>
      </c>
      <c r="H21">
        <f>SUM(H2:H4,H6:H19)</f>
        <v>0.99999999999999989</v>
      </c>
      <c r="I21">
        <f>SUM(I2:I4,I6:I19)</f>
        <v>654.7578335245762</v>
      </c>
      <c r="J21">
        <f>SUM(J2:J4,J6:J19)</f>
        <v>0.99999999999999989</v>
      </c>
      <c r="L21" s="8">
        <f>SUM(L2:L4,L6:L19)</f>
        <v>2.3814762019732858</v>
      </c>
      <c r="M21" s="14">
        <f>SUM(M5,M20)</f>
        <v>1</v>
      </c>
    </row>
    <row r="23" spans="1:14" x14ac:dyDescent="0.3">
      <c r="A23" s="6"/>
    </row>
    <row r="24" spans="1:14" x14ac:dyDescent="0.3">
      <c r="A24" s="48" t="s">
        <v>52</v>
      </c>
    </row>
    <row r="25" spans="1:14" x14ac:dyDescent="0.3">
      <c r="A25" t="s">
        <v>50</v>
      </c>
    </row>
    <row r="26" spans="1:14" x14ac:dyDescent="0.3">
      <c r="A26" t="s">
        <v>51</v>
      </c>
    </row>
    <row r="27" spans="1:14" x14ac:dyDescent="0.3">
      <c r="A27" t="s">
        <v>132</v>
      </c>
    </row>
    <row r="28" spans="1:14" x14ac:dyDescent="0.3">
      <c r="A28" s="3" t="s">
        <v>10</v>
      </c>
      <c r="B28" s="7">
        <v>5815</v>
      </c>
      <c r="C28">
        <v>33.22</v>
      </c>
      <c r="D28" s="34">
        <f>C28*C28</f>
        <v>1103.5683999999999</v>
      </c>
      <c r="E28">
        <v>0.45400000000000001</v>
      </c>
      <c r="F28">
        <f>1-E28</f>
        <v>0.54600000000000004</v>
      </c>
      <c r="G28" s="89">
        <f>F28/F$32</f>
        <v>0.37655172413793109</v>
      </c>
      <c r="H28" s="89">
        <f>B28/$B$32</f>
        <v>0.35461641663617516</v>
      </c>
      <c r="I28">
        <f>$D$32/D28</f>
        <v>4.9207502679489563</v>
      </c>
      <c r="J28" s="8">
        <f>E28/$E$32</f>
        <v>0.29290322580645162</v>
      </c>
      <c r="K28">
        <v>2001</v>
      </c>
      <c r="L28">
        <f>H28*I28*G28</f>
        <v>0.65707478595940039</v>
      </c>
      <c r="M28" s="90">
        <f>L28/$L$32</f>
        <v>0.46095031846008455</v>
      </c>
      <c r="N28" s="8">
        <f>M28*M$5</f>
        <v>0.31190859429259948</v>
      </c>
    </row>
    <row r="29" spans="1:14" x14ac:dyDescent="0.3">
      <c r="A29" s="3" t="s">
        <v>9</v>
      </c>
      <c r="B29" s="7">
        <v>7426</v>
      </c>
      <c r="C29">
        <v>34</v>
      </c>
      <c r="D29" s="34">
        <f>C29*C29</f>
        <v>1156</v>
      </c>
      <c r="E29">
        <v>0.54600000000000004</v>
      </c>
      <c r="F29">
        <f t="shared" ref="F29:F30" si="9">1-E29</f>
        <v>0.45399999999999996</v>
      </c>
      <c r="G29" s="89">
        <f t="shared" ref="G29:G30" si="10">F29/F$32</f>
        <v>0.31310344827586206</v>
      </c>
      <c r="H29" s="89">
        <f t="shared" ref="H29:H30" si="11">B29/$B$32</f>
        <v>0.45286010489084033</v>
      </c>
      <c r="I29">
        <f t="shared" ref="I29:I30" si="12">$D$32/D29</f>
        <v>4.6975644463667825</v>
      </c>
      <c r="J29" s="8">
        <f t="shared" ref="J29:J30" si="13">E29/$E$32</f>
        <v>0.35225806451612907</v>
      </c>
      <c r="K29">
        <v>2000</v>
      </c>
      <c r="L29">
        <f t="shared" ref="L29:L30" si="14">H29*I29*G29</f>
        <v>0.66607734184314971</v>
      </c>
      <c r="M29" s="90">
        <f t="shared" ref="M29:M30" si="15">L29/$L$32</f>
        <v>0.46726578070310748</v>
      </c>
      <c r="N29" s="8">
        <f t="shared" ref="N29:N30" si="16">M29*M$5</f>
        <v>0.3161820417155452</v>
      </c>
    </row>
    <row r="30" spans="1:14" x14ac:dyDescent="0.3">
      <c r="A30" s="3" t="s">
        <v>11</v>
      </c>
      <c r="B30" s="7">
        <v>3157</v>
      </c>
      <c r="C30">
        <v>56.31</v>
      </c>
      <c r="D30" s="34">
        <f>C30*C30</f>
        <v>3170.8161000000005</v>
      </c>
      <c r="E30">
        <v>0.55000000000000004</v>
      </c>
      <c r="F30">
        <f t="shared" si="9"/>
        <v>0.44999999999999996</v>
      </c>
      <c r="G30" s="89">
        <f t="shared" si="10"/>
        <v>0.31034482758620685</v>
      </c>
      <c r="H30" s="89">
        <f t="shared" si="11"/>
        <v>0.19252347847298451</v>
      </c>
      <c r="I30">
        <f t="shared" si="12"/>
        <v>1.7126141437215483</v>
      </c>
      <c r="J30" s="8">
        <f t="shared" si="13"/>
        <v>0.35483870967741937</v>
      </c>
      <c r="K30">
        <v>2000</v>
      </c>
      <c r="L30">
        <f t="shared" si="14"/>
        <v>0.10232641000281857</v>
      </c>
      <c r="M30" s="90">
        <f t="shared" si="15"/>
        <v>7.178390083680794E-2</v>
      </c>
      <c r="N30" s="8">
        <f t="shared" si="16"/>
        <v>4.8573598295033951E-2</v>
      </c>
    </row>
    <row r="32" spans="1:14" x14ac:dyDescent="0.3">
      <c r="A32" s="3" t="s">
        <v>133</v>
      </c>
      <c r="B32" s="8">
        <f>SUM(B28:B30)</f>
        <v>16398</v>
      </c>
      <c r="C32" s="8">
        <f>SUM(C28:C30)</f>
        <v>123.53</v>
      </c>
      <c r="D32" s="8">
        <f t="shared" ref="D32:N32" si="17">SUM(D28:D30)</f>
        <v>5430.3845000000001</v>
      </c>
      <c r="E32" s="8">
        <f t="shared" si="17"/>
        <v>1.55</v>
      </c>
      <c r="F32" s="8">
        <f t="shared" si="17"/>
        <v>1.45</v>
      </c>
      <c r="G32" s="8">
        <f t="shared" si="17"/>
        <v>1</v>
      </c>
      <c r="H32" s="8">
        <f t="shared" si="17"/>
        <v>1</v>
      </c>
      <c r="I32" s="8">
        <f t="shared" si="17"/>
        <v>11.330928858037288</v>
      </c>
      <c r="J32" s="8">
        <f t="shared" si="17"/>
        <v>1</v>
      </c>
      <c r="K32" s="8">
        <f t="shared" si="17"/>
        <v>6001</v>
      </c>
      <c r="L32" s="8">
        <f t="shared" si="17"/>
        <v>1.4254785378053687</v>
      </c>
      <c r="M32" s="8">
        <f t="shared" si="17"/>
        <v>1</v>
      </c>
      <c r="N32" s="8">
        <f t="shared" si="17"/>
        <v>0.67666423430317857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workbookViewId="0">
      <pane ySplit="1" topLeftCell="A26" activePane="bottomLeft" state="frozen"/>
      <selection pane="bottomLeft" activeCell="B30" sqref="B30:B32"/>
    </sheetView>
  </sheetViews>
  <sheetFormatPr defaultColWidth="8.77734375" defaultRowHeight="14.4" x14ac:dyDescent="0.3"/>
  <cols>
    <col min="1" max="1" width="30.6640625" bestFit="1" customWidth="1"/>
    <col min="2" max="2" width="11.77734375" customWidth="1"/>
    <col min="3" max="3" width="11.44140625" customWidth="1"/>
    <col min="4" max="4" width="12" customWidth="1"/>
    <col min="5" max="8" width="9.109375" customWidth="1"/>
    <col min="9" max="10" width="10" customWidth="1"/>
    <col min="11" max="11" width="9.109375" customWidth="1"/>
    <col min="12" max="12" width="11.44140625" customWidth="1"/>
    <col min="13" max="13" width="9.109375" customWidth="1"/>
    <col min="14" max="14" width="11.21875" customWidth="1"/>
    <col min="15" max="15" width="30.6640625" bestFit="1" customWidth="1"/>
  </cols>
  <sheetData>
    <row r="1" spans="1:13" ht="57.6" x14ac:dyDescent="0.3">
      <c r="A1" s="1" t="s">
        <v>126</v>
      </c>
      <c r="B1" s="1" t="s">
        <v>102</v>
      </c>
      <c r="C1" s="1" t="s">
        <v>1</v>
      </c>
      <c r="D1" s="1" t="s">
        <v>2</v>
      </c>
      <c r="E1" s="1" t="s">
        <v>3</v>
      </c>
      <c r="F1" s="1" t="s">
        <v>136</v>
      </c>
      <c r="G1" s="1" t="s">
        <v>138</v>
      </c>
      <c r="H1" s="1" t="s">
        <v>4</v>
      </c>
      <c r="I1" s="1" t="s">
        <v>5</v>
      </c>
      <c r="J1" s="1" t="s">
        <v>6</v>
      </c>
      <c r="K1" s="1" t="s">
        <v>46</v>
      </c>
      <c r="L1" s="1" t="s">
        <v>7</v>
      </c>
      <c r="M1" s="2" t="s">
        <v>8</v>
      </c>
    </row>
    <row r="2" spans="1:13" x14ac:dyDescent="0.3">
      <c r="A2" s="3" t="s">
        <v>10</v>
      </c>
      <c r="B2" s="7">
        <v>4713</v>
      </c>
      <c r="C2">
        <v>16.100000000000001</v>
      </c>
      <c r="D2">
        <f>C2*C2</f>
        <v>259.21000000000004</v>
      </c>
      <c r="E2">
        <v>0.45400000000000001</v>
      </c>
      <c r="F2">
        <f>1-E2</f>
        <v>0.54600000000000004</v>
      </c>
      <c r="G2">
        <f>F2/F$22</f>
        <v>6.7051455237627428E-2</v>
      </c>
      <c r="H2">
        <f>B2/$B$22</f>
        <v>0.2508115587249215</v>
      </c>
      <c r="I2">
        <f>$D$22/D2</f>
        <v>269.91738474595883</v>
      </c>
      <c r="J2">
        <f>E2/$E$22</f>
        <v>4.6058638530993207E-2</v>
      </c>
      <c r="K2">
        <v>2001</v>
      </c>
      <c r="L2">
        <f>H2*I2*J2</f>
        <v>3.1180961345003633</v>
      </c>
      <c r="M2" s="4">
        <f>L2/$L$22</f>
        <v>0.70979716893187306</v>
      </c>
    </row>
    <row r="3" spans="1:13" x14ac:dyDescent="0.3">
      <c r="A3" s="3" t="s">
        <v>9</v>
      </c>
      <c r="B3" s="7">
        <v>6425</v>
      </c>
      <c r="C3">
        <v>62.75</v>
      </c>
      <c r="D3">
        <f>C3*C3</f>
        <v>3937.5625</v>
      </c>
      <c r="E3">
        <v>0.54600000000000004</v>
      </c>
      <c r="F3">
        <f t="shared" ref="F3:F20" si="0">1-E3</f>
        <v>0.45399999999999996</v>
      </c>
      <c r="G3">
        <f t="shared" ref="G3:G20" si="1">F3/F$22</f>
        <v>5.5753407834950267E-2</v>
      </c>
      <c r="H3">
        <f>B3/$B$22</f>
        <v>0.34191900377840456</v>
      </c>
      <c r="I3">
        <f>$D$22/D3</f>
        <v>17.76867930350312</v>
      </c>
      <c r="J3">
        <f>E3/$E$22</f>
        <v>5.5392107131987431E-2</v>
      </c>
      <c r="K3">
        <v>2000</v>
      </c>
      <c r="L3">
        <f>H3*I3*J3</f>
        <v>0.3365319288574426</v>
      </c>
      <c r="M3" s="51">
        <f>L3/$L$22</f>
        <v>7.6607455336354199E-2</v>
      </c>
    </row>
    <row r="4" spans="1:13" x14ac:dyDescent="0.3">
      <c r="A4" s="3" t="s">
        <v>11</v>
      </c>
      <c r="B4" s="7">
        <v>3157</v>
      </c>
      <c r="C4">
        <v>32.880000000000003</v>
      </c>
      <c r="D4">
        <f>C4*C4</f>
        <v>1081.0944000000002</v>
      </c>
      <c r="E4">
        <v>0.55000000000000004</v>
      </c>
      <c r="F4">
        <f t="shared" si="0"/>
        <v>0.44999999999999996</v>
      </c>
      <c r="G4">
        <f t="shared" si="1"/>
        <v>5.5262188382659956E-2</v>
      </c>
      <c r="H4">
        <f>B4/$B$22</f>
        <v>0.1680059603001437</v>
      </c>
      <c r="I4">
        <f>$D$22/D4</f>
        <v>64.717091587931634</v>
      </c>
      <c r="J4">
        <f>E4/$E$22</f>
        <v>5.5797910114639353E-2</v>
      </c>
      <c r="K4">
        <v>1998</v>
      </c>
      <c r="L4">
        <f>H4*I4*J4</f>
        <v>0.60668270427458093</v>
      </c>
      <c r="M4" s="50">
        <f>L4/$L$22</f>
        <v>0.13810403764316015</v>
      </c>
    </row>
    <row r="5" spans="1:13" x14ac:dyDescent="0.3">
      <c r="A5" s="35" t="s">
        <v>47</v>
      </c>
      <c r="B5" s="36">
        <f>SUM(B2:B4)</f>
        <v>14295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52">
        <f>SUM(M2:M4)</f>
        <v>0.92450866191138736</v>
      </c>
    </row>
    <row r="6" spans="1:13" x14ac:dyDescent="0.3">
      <c r="A6" s="5" t="s">
        <v>12</v>
      </c>
      <c r="B6" s="7">
        <v>48</v>
      </c>
      <c r="C6">
        <v>47.64</v>
      </c>
      <c r="D6">
        <f t="shared" ref="D6:D20" si="2">C6*C6</f>
        <v>2269.5696000000003</v>
      </c>
      <c r="E6">
        <v>0.56499999999999995</v>
      </c>
      <c r="F6">
        <f t="shared" si="0"/>
        <v>0.43500000000000005</v>
      </c>
      <c r="G6">
        <f t="shared" si="1"/>
        <v>5.3420115436571304E-2</v>
      </c>
      <c r="H6">
        <f t="shared" ref="H6:H20" si="3">B6/$B$22</f>
        <v>2.5544143472939172E-3</v>
      </c>
      <c r="I6">
        <f t="shared" ref="I6:I20" si="4">$D$22/D6</f>
        <v>30.827556599277674</v>
      </c>
      <c r="J6">
        <f t="shared" ref="J6:J20" si="5">E6/$E$22</f>
        <v>5.7319671299584048E-2</v>
      </c>
      <c r="K6">
        <v>2000</v>
      </c>
      <c r="L6">
        <f t="shared" ref="L6:L20" si="6">H6*I6*J6</f>
        <v>4.5137150625041839E-3</v>
      </c>
      <c r="M6" s="56">
        <f t="shared" ref="M6:M20" si="7">L6/$L$22</f>
        <v>1.0274930709421488E-3</v>
      </c>
    </row>
    <row r="7" spans="1:13" x14ac:dyDescent="0.3">
      <c r="A7" s="5" t="s">
        <v>13</v>
      </c>
      <c r="B7" s="7">
        <v>54</v>
      </c>
      <c r="C7">
        <v>78.08</v>
      </c>
      <c r="D7">
        <f t="shared" si="2"/>
        <v>6096.4863999999998</v>
      </c>
      <c r="E7">
        <v>0.55400000000000005</v>
      </c>
      <c r="F7">
        <f t="shared" si="0"/>
        <v>0.44599999999999995</v>
      </c>
      <c r="G7">
        <f t="shared" si="1"/>
        <v>5.4770968930369646E-2</v>
      </c>
      <c r="H7">
        <f t="shared" si="3"/>
        <v>2.8737161407056569E-3</v>
      </c>
      <c r="I7">
        <f t="shared" si="4"/>
        <v>11.476329267297308</v>
      </c>
      <c r="J7">
        <f t="shared" si="5"/>
        <v>5.6203713097291275E-2</v>
      </c>
      <c r="K7">
        <v>1999</v>
      </c>
      <c r="L7">
        <f t="shared" si="6"/>
        <v>1.8535823078951702E-3</v>
      </c>
      <c r="M7" s="57">
        <f t="shared" si="7"/>
        <v>4.2194577003861969E-4</v>
      </c>
    </row>
    <row r="8" spans="1:13" x14ac:dyDescent="0.3">
      <c r="A8" s="5" t="s">
        <v>80</v>
      </c>
      <c r="B8" s="7">
        <v>1962</v>
      </c>
      <c r="C8">
        <v>58.66</v>
      </c>
      <c r="D8">
        <f t="shared" si="2"/>
        <v>3440.9955999999997</v>
      </c>
      <c r="E8">
        <v>0.52900000000000003</v>
      </c>
      <c r="F8">
        <f t="shared" si="0"/>
        <v>0.47099999999999997</v>
      </c>
      <c r="G8">
        <f t="shared" si="1"/>
        <v>5.7841090507184091E-2</v>
      </c>
      <c r="H8">
        <f t="shared" si="3"/>
        <v>0.10441168644563888</v>
      </c>
      <c r="I8">
        <f t="shared" si="4"/>
        <v>20.332861018479655</v>
      </c>
      <c r="J8">
        <f t="shared" si="5"/>
        <v>5.3667444455716758E-2</v>
      </c>
      <c r="K8">
        <v>1999</v>
      </c>
      <c r="L8">
        <f t="shared" si="6"/>
        <v>0.1139353571643552</v>
      </c>
      <c r="M8" s="57">
        <f t="shared" si="7"/>
        <v>2.5936016873148688E-2</v>
      </c>
    </row>
    <row r="9" spans="1:13" x14ac:dyDescent="0.3">
      <c r="A9" s="5" t="s">
        <v>15</v>
      </c>
      <c r="B9" s="49">
        <v>377</v>
      </c>
      <c r="C9">
        <v>39.68</v>
      </c>
      <c r="D9">
        <f t="shared" si="2"/>
        <v>1574.5024000000001</v>
      </c>
      <c r="E9">
        <v>0.56799999999999995</v>
      </c>
      <c r="F9">
        <f t="shared" si="0"/>
        <v>0.43200000000000005</v>
      </c>
      <c r="G9">
        <f t="shared" si="1"/>
        <v>5.305170084735357E-2</v>
      </c>
      <c r="H9">
        <f t="shared" si="3"/>
        <v>2.0062796019370974E-2</v>
      </c>
      <c r="I9">
        <f t="shared" si="4"/>
        <v>44.436442459535151</v>
      </c>
      <c r="J9">
        <f t="shared" si="5"/>
        <v>5.7624023536572991E-2</v>
      </c>
      <c r="K9">
        <v>2000</v>
      </c>
      <c r="L9">
        <f t="shared" si="6"/>
        <v>5.1372928025438983E-2</v>
      </c>
      <c r="M9" s="57">
        <f t="shared" si="7"/>
        <v>1.169443060742591E-2</v>
      </c>
    </row>
    <row r="10" spans="1:13" x14ac:dyDescent="0.3">
      <c r="A10" s="5" t="s">
        <v>26</v>
      </c>
      <c r="B10" s="49">
        <v>260</v>
      </c>
      <c r="C10">
        <v>72.42</v>
      </c>
      <c r="D10">
        <f t="shared" si="2"/>
        <v>5244.6563999999998</v>
      </c>
      <c r="E10">
        <v>0.63100000000000001</v>
      </c>
      <c r="F10">
        <f t="shared" si="0"/>
        <v>0.36899999999999999</v>
      </c>
      <c r="G10">
        <f t="shared" si="1"/>
        <v>4.5314994473781164E-2</v>
      </c>
      <c r="H10">
        <f t="shared" si="3"/>
        <v>1.3836411047842051E-2</v>
      </c>
      <c r="I10">
        <f t="shared" si="4"/>
        <v>13.340299147147181</v>
      </c>
      <c r="J10">
        <f t="shared" si="5"/>
        <v>6.4015420513340776E-2</v>
      </c>
      <c r="K10">
        <v>2000</v>
      </c>
      <c r="L10">
        <f t="shared" si="6"/>
        <v>1.1816085547143895E-2</v>
      </c>
      <c r="M10" s="57">
        <f t="shared" si="7"/>
        <v>2.6897900858221862E-3</v>
      </c>
    </row>
    <row r="11" spans="1:13" x14ac:dyDescent="0.3">
      <c r="A11" s="5" t="s">
        <v>16</v>
      </c>
      <c r="B11" s="49">
        <v>337</v>
      </c>
      <c r="C11">
        <v>82.48</v>
      </c>
      <c r="D11">
        <f t="shared" si="2"/>
        <v>6802.9504000000006</v>
      </c>
      <c r="E11">
        <v>0.56999999999999995</v>
      </c>
      <c r="F11">
        <f t="shared" si="0"/>
        <v>0.43000000000000005</v>
      </c>
      <c r="G11">
        <f t="shared" si="1"/>
        <v>5.2806091121208411E-2</v>
      </c>
      <c r="H11">
        <f t="shared" si="3"/>
        <v>1.7934117396626044E-2</v>
      </c>
      <c r="I11">
        <f t="shared" si="4"/>
        <v>10.284550259252221</v>
      </c>
      <c r="J11">
        <f t="shared" si="5"/>
        <v>5.7826925027898955E-2</v>
      </c>
      <c r="K11">
        <v>1999</v>
      </c>
      <c r="L11">
        <f t="shared" si="6"/>
        <v>1.0665848542247152E-2</v>
      </c>
      <c r="M11" s="57">
        <f t="shared" si="7"/>
        <v>2.4279524341080869E-3</v>
      </c>
    </row>
    <row r="12" spans="1:13" x14ac:dyDescent="0.3">
      <c r="A12" s="5" t="s">
        <v>17</v>
      </c>
      <c r="B12" s="49">
        <v>56</v>
      </c>
      <c r="C12">
        <v>85.99</v>
      </c>
      <c r="D12">
        <f t="shared" si="2"/>
        <v>7394.280099999999</v>
      </c>
      <c r="E12">
        <v>0.58199999999999996</v>
      </c>
      <c r="F12">
        <f t="shared" si="0"/>
        <v>0.41800000000000004</v>
      </c>
      <c r="G12">
        <f t="shared" si="1"/>
        <v>5.1332432764337479E-2</v>
      </c>
      <c r="H12">
        <f t="shared" si="3"/>
        <v>2.9801500718429036E-3</v>
      </c>
      <c r="I12">
        <f t="shared" si="4"/>
        <v>9.4620820896411555</v>
      </c>
      <c r="J12">
        <f t="shared" si="5"/>
        <v>5.9044333975854721E-2</v>
      </c>
      <c r="K12">
        <v>1999</v>
      </c>
      <c r="L12">
        <f t="shared" si="6"/>
        <v>1.6649572008106349E-3</v>
      </c>
      <c r="M12" s="57">
        <f t="shared" si="7"/>
        <v>3.79007527847595E-4</v>
      </c>
    </row>
    <row r="13" spans="1:13" x14ac:dyDescent="0.3">
      <c r="A13" s="5" t="s">
        <v>19</v>
      </c>
      <c r="B13" s="49">
        <v>71</v>
      </c>
      <c r="C13">
        <v>55.93</v>
      </c>
      <c r="D13">
        <f t="shared" si="2"/>
        <v>3128.1648999999998</v>
      </c>
      <c r="E13">
        <v>0.56499999999999995</v>
      </c>
      <c r="F13">
        <f t="shared" si="0"/>
        <v>0.43500000000000005</v>
      </c>
      <c r="G13">
        <f t="shared" si="1"/>
        <v>5.3420115436571304E-2</v>
      </c>
      <c r="H13">
        <f t="shared" si="3"/>
        <v>3.7784045553722525E-3</v>
      </c>
      <c r="I13">
        <f t="shared" si="4"/>
        <v>22.366239484369896</v>
      </c>
      <c r="J13">
        <f t="shared" si="5"/>
        <v>5.7319671299584048E-2</v>
      </c>
      <c r="K13">
        <v>2001</v>
      </c>
      <c r="L13">
        <f t="shared" si="6"/>
        <v>4.8440109721186791E-3</v>
      </c>
      <c r="M13" s="57">
        <f t="shared" si="7"/>
        <v>1.1026809713279443E-3</v>
      </c>
    </row>
    <row r="14" spans="1:13" x14ac:dyDescent="0.3">
      <c r="A14" s="5" t="s">
        <v>18</v>
      </c>
      <c r="B14" s="49">
        <v>11</v>
      </c>
      <c r="C14">
        <v>65.459999999999994</v>
      </c>
      <c r="D14">
        <f t="shared" si="2"/>
        <v>4285.0115999999989</v>
      </c>
      <c r="E14">
        <v>0.56499999999999995</v>
      </c>
      <c r="F14">
        <f t="shared" si="0"/>
        <v>0.43500000000000005</v>
      </c>
      <c r="G14">
        <f t="shared" si="1"/>
        <v>5.3420115436571304E-2</v>
      </c>
      <c r="H14">
        <f t="shared" si="3"/>
        <v>5.8538662125485607E-4</v>
      </c>
      <c r="I14">
        <f t="shared" si="4"/>
        <v>16.327910360849437</v>
      </c>
      <c r="J14">
        <f t="shared" si="5"/>
        <v>5.7319671299584048E-2</v>
      </c>
      <c r="K14">
        <v>1999</v>
      </c>
      <c r="L14">
        <f t="shared" si="6"/>
        <v>5.4786945898688667E-4</v>
      </c>
      <c r="M14" s="57">
        <f t="shared" si="7"/>
        <v>1.2471590809224416E-4</v>
      </c>
    </row>
    <row r="15" spans="1:13" x14ac:dyDescent="0.3">
      <c r="A15" s="5" t="s">
        <v>115</v>
      </c>
      <c r="B15" s="49">
        <v>34</v>
      </c>
      <c r="C15">
        <v>38.75</v>
      </c>
      <c r="D15">
        <f t="shared" si="2"/>
        <v>1501.5625</v>
      </c>
      <c r="E15">
        <v>0.495</v>
      </c>
      <c r="F15">
        <f t="shared" si="0"/>
        <v>0.505</v>
      </c>
      <c r="G15">
        <f t="shared" si="1"/>
        <v>6.2016455851651733E-2</v>
      </c>
      <c r="H15">
        <f t="shared" si="3"/>
        <v>1.8093768293331914E-3</v>
      </c>
      <c r="I15">
        <f t="shared" si="4"/>
        <v>46.594987088449535</v>
      </c>
      <c r="J15">
        <f t="shared" si="5"/>
        <v>5.0218119103175411E-2</v>
      </c>
      <c r="K15">
        <v>2000</v>
      </c>
      <c r="L15">
        <f t="shared" si="6"/>
        <v>4.2337836614036025E-3</v>
      </c>
      <c r="M15" s="57">
        <f t="shared" si="7"/>
        <v>9.6377004656267014E-4</v>
      </c>
    </row>
    <row r="16" spans="1:13" x14ac:dyDescent="0.3">
      <c r="A16" s="5" t="s">
        <v>21</v>
      </c>
      <c r="B16" s="49">
        <v>58</v>
      </c>
      <c r="C16">
        <v>74.42</v>
      </c>
      <c r="D16">
        <f t="shared" si="2"/>
        <v>5538.3364000000001</v>
      </c>
      <c r="E16">
        <v>0.54500000000000004</v>
      </c>
      <c r="F16">
        <f t="shared" si="0"/>
        <v>0.45499999999999996</v>
      </c>
      <c r="G16">
        <f t="shared" si="1"/>
        <v>5.5876212698022842E-2</v>
      </c>
      <c r="H16">
        <f t="shared" si="3"/>
        <v>3.0865840029801503E-3</v>
      </c>
      <c r="I16">
        <f t="shared" si="4"/>
        <v>12.632906390446056</v>
      </c>
      <c r="J16">
        <f t="shared" si="5"/>
        <v>5.5290656386324445E-2</v>
      </c>
      <c r="K16">
        <v>2002</v>
      </c>
      <c r="L16">
        <f t="shared" si="6"/>
        <v>2.1559223996006492E-3</v>
      </c>
      <c r="M16" s="57">
        <f t="shared" si="7"/>
        <v>4.9076986393768057E-4</v>
      </c>
    </row>
    <row r="17" spans="1:14" x14ac:dyDescent="0.3">
      <c r="A17" s="5" t="s">
        <v>22</v>
      </c>
      <c r="B17" s="49">
        <v>112</v>
      </c>
      <c r="C17">
        <v>76.84</v>
      </c>
      <c r="D17">
        <f t="shared" si="2"/>
        <v>5904.3856000000005</v>
      </c>
      <c r="E17">
        <v>0.54900000000000004</v>
      </c>
      <c r="F17">
        <f t="shared" si="0"/>
        <v>0.45099999999999996</v>
      </c>
      <c r="G17">
        <f t="shared" si="1"/>
        <v>5.5384993245732532E-2</v>
      </c>
      <c r="H17">
        <f t="shared" si="3"/>
        <v>5.9603001436858071E-3</v>
      </c>
      <c r="I17">
        <f t="shared" si="4"/>
        <v>11.849714778113407</v>
      </c>
      <c r="J17">
        <f t="shared" si="5"/>
        <v>5.5696459368976367E-2</v>
      </c>
      <c r="K17">
        <v>1999</v>
      </c>
      <c r="L17">
        <f t="shared" si="6"/>
        <v>3.9337215507100768E-3</v>
      </c>
      <c r="M17" s="57">
        <f t="shared" si="7"/>
        <v>8.9546450770598739E-4</v>
      </c>
    </row>
    <row r="18" spans="1:14" x14ac:dyDescent="0.3">
      <c r="A18" s="5" t="s">
        <v>27</v>
      </c>
      <c r="B18" s="49">
        <v>14</v>
      </c>
      <c r="C18">
        <v>76.88</v>
      </c>
      <c r="D18">
        <f t="shared" si="2"/>
        <v>5910.5343999999996</v>
      </c>
      <c r="E18">
        <v>0.56499999999999995</v>
      </c>
      <c r="F18">
        <f t="shared" si="0"/>
        <v>0.43500000000000005</v>
      </c>
      <c r="G18">
        <f t="shared" si="1"/>
        <v>5.3420115436571304E-2</v>
      </c>
      <c r="H18">
        <f t="shared" si="3"/>
        <v>7.4503751796072589E-4</v>
      </c>
      <c r="I18">
        <f t="shared" si="4"/>
        <v>11.837387377357961</v>
      </c>
      <c r="J18">
        <f t="shared" si="5"/>
        <v>5.7319671299584048E-2</v>
      </c>
      <c r="K18">
        <v>2000</v>
      </c>
      <c r="L18">
        <f t="shared" si="6"/>
        <v>5.0551924587430427E-4</v>
      </c>
      <c r="M18" s="57">
        <f t="shared" si="7"/>
        <v>1.1507539026523712E-4</v>
      </c>
    </row>
    <row r="19" spans="1:14" x14ac:dyDescent="0.3">
      <c r="A19" s="5" t="s">
        <v>23</v>
      </c>
      <c r="B19" s="49">
        <v>578</v>
      </c>
      <c r="C19">
        <v>67.55</v>
      </c>
      <c r="D19">
        <f t="shared" si="2"/>
        <v>4563.0024999999996</v>
      </c>
      <c r="E19">
        <v>0.53300000000000003</v>
      </c>
      <c r="F19">
        <f t="shared" si="0"/>
        <v>0.46699999999999997</v>
      </c>
      <c r="G19">
        <f t="shared" si="1"/>
        <v>5.7349871054893781E-2</v>
      </c>
      <c r="H19">
        <f t="shared" si="3"/>
        <v>3.0759406098664253E-2</v>
      </c>
      <c r="I19">
        <f t="shared" si="4"/>
        <v>15.33316830310744</v>
      </c>
      <c r="J19">
        <f t="shared" si="5"/>
        <v>5.407324743836868E-2</v>
      </c>
      <c r="K19">
        <v>1999</v>
      </c>
      <c r="L19">
        <f t="shared" si="6"/>
        <v>2.5503060492797103E-2</v>
      </c>
      <c r="M19" s="57">
        <f t="shared" si="7"/>
        <v>5.8054656931821333E-3</v>
      </c>
    </row>
    <row r="20" spans="1:14" x14ac:dyDescent="0.3">
      <c r="A20" s="5" t="s">
        <v>24</v>
      </c>
      <c r="B20" s="49">
        <v>524</v>
      </c>
      <c r="C20">
        <v>32.14</v>
      </c>
      <c r="D20">
        <f t="shared" si="2"/>
        <v>1032.9796000000001</v>
      </c>
      <c r="E20">
        <v>0.49099999999999999</v>
      </c>
      <c r="F20">
        <f t="shared" si="0"/>
        <v>0.50900000000000001</v>
      </c>
      <c r="G20">
        <f t="shared" si="1"/>
        <v>6.2507675303942051E-2</v>
      </c>
      <c r="H20">
        <f t="shared" si="3"/>
        <v>2.7885689957958596E-2</v>
      </c>
      <c r="I20">
        <f t="shared" si="4"/>
        <v>67.731526643894995</v>
      </c>
      <c r="J20">
        <f t="shared" si="5"/>
        <v>4.9812316120523489E-2</v>
      </c>
      <c r="K20">
        <v>2000</v>
      </c>
      <c r="L20">
        <f t="shared" si="6"/>
        <v>9.4082531501886585E-2</v>
      </c>
      <c r="M20" s="58">
        <f t="shared" si="7"/>
        <v>2.1416759338205416E-2</v>
      </c>
    </row>
    <row r="21" spans="1:14" x14ac:dyDescent="0.3">
      <c r="A21" s="38" t="s">
        <v>32</v>
      </c>
      <c r="B21" s="39">
        <f>SUM(B6:B20)</f>
        <v>4496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5">
        <f>SUM(M6:M20)</f>
        <v>7.5491338088612553E-2</v>
      </c>
    </row>
    <row r="22" spans="1:14" x14ac:dyDescent="0.3">
      <c r="A22" t="s">
        <v>25</v>
      </c>
      <c r="B22" s="7">
        <f>B21+B5</f>
        <v>18791</v>
      </c>
      <c r="C22" s="12">
        <f>SUM(C2:C4,C6:C20)</f>
        <v>1064.6500000000001</v>
      </c>
      <c r="D22">
        <f>SUM(D2:D4,D6:D20)</f>
        <v>69965.285300000003</v>
      </c>
      <c r="E22">
        <f>SUM(E2:E4,E6:E20)</f>
        <v>9.8569999999999993</v>
      </c>
      <c r="F22">
        <f t="shared" ref="F22:G22" si="8">SUM(F2:F4,F6:F20)</f>
        <v>8.1429999999999989</v>
      </c>
      <c r="G22">
        <f t="shared" si="8"/>
        <v>1.0000000000000002</v>
      </c>
      <c r="H22">
        <f>SUM(H2:H4,H6:H20)</f>
        <v>1.0000000000000002</v>
      </c>
      <c r="I22">
        <f>SUM(I2:I4,I6:I20)</f>
        <v>697.23711690461255</v>
      </c>
      <c r="J22">
        <f>SUM(J3:J20)</f>
        <v>0.95394136146900688</v>
      </c>
      <c r="L22" s="12">
        <f>SUM(L2:L4,L6:L20)</f>
        <v>4.3929396607661602</v>
      </c>
      <c r="M22" s="12">
        <f>M5+M21</f>
        <v>0.99999999999999989</v>
      </c>
    </row>
    <row r="23" spans="1:14" x14ac:dyDescent="0.3">
      <c r="B23" s="7"/>
      <c r="C23" s="12"/>
      <c r="L23" s="12"/>
      <c r="M23" s="12"/>
    </row>
    <row r="24" spans="1:14" x14ac:dyDescent="0.3">
      <c r="A24" s="6" t="s">
        <v>90</v>
      </c>
      <c r="B24" s="86">
        <v>18898</v>
      </c>
      <c r="C24" s="12">
        <f>SUM(B24-B22)</f>
        <v>107</v>
      </c>
      <c r="L24" s="12"/>
      <c r="M24" s="12"/>
    </row>
    <row r="25" spans="1:14" x14ac:dyDescent="0.3">
      <c r="A25" s="6"/>
      <c r="B25" s="7"/>
      <c r="C25" s="12"/>
      <c r="L25" s="12"/>
      <c r="M25" s="12"/>
    </row>
    <row r="26" spans="1:14" x14ac:dyDescent="0.3">
      <c r="A26" s="48" t="s">
        <v>52</v>
      </c>
    </row>
    <row r="27" spans="1:14" x14ac:dyDescent="0.3">
      <c r="A27" t="s">
        <v>50</v>
      </c>
    </row>
    <row r="28" spans="1:14" x14ac:dyDescent="0.3">
      <c r="A28" t="s">
        <v>51</v>
      </c>
    </row>
    <row r="29" spans="1:14" x14ac:dyDescent="0.3">
      <c r="A29" t="s">
        <v>139</v>
      </c>
      <c r="B29" t="s">
        <v>140</v>
      </c>
    </row>
    <row r="30" spans="1:14" x14ac:dyDescent="0.3">
      <c r="A30" s="3" t="s">
        <v>10</v>
      </c>
      <c r="B30" s="7">
        <v>5815</v>
      </c>
      <c r="C30">
        <v>16.100000000000001</v>
      </c>
      <c r="D30">
        <f>C30*C30</f>
        <v>259.21000000000004</v>
      </c>
      <c r="E30">
        <v>0.45400000000000001</v>
      </c>
      <c r="F30">
        <f>1-E30</f>
        <v>0.54600000000000004</v>
      </c>
      <c r="G30" s="8">
        <f>F30/F$34</f>
        <v>0.37655172413793109</v>
      </c>
      <c r="H30">
        <f>B30/$B$34</f>
        <v>0.35461641663617516</v>
      </c>
      <c r="I30" s="8">
        <f>$D$34/D30</f>
        <v>20.36135527178735</v>
      </c>
      <c r="J30" s="8">
        <f>E30/$E$34</f>
        <v>0.29290322580645162</v>
      </c>
      <c r="K30">
        <v>2001</v>
      </c>
      <c r="L30">
        <f>H30*I30*G30</f>
        <v>2.7188807455228825</v>
      </c>
      <c r="M30" s="90">
        <f>L30/$L$34</f>
        <v>0.84948343847803276</v>
      </c>
      <c r="N30" s="8">
        <f>M30*M$5</f>
        <v>0.78535479702321043</v>
      </c>
    </row>
    <row r="31" spans="1:14" x14ac:dyDescent="0.3">
      <c r="A31" s="3" t="s">
        <v>9</v>
      </c>
      <c r="B31" s="7">
        <v>7426</v>
      </c>
      <c r="C31">
        <v>62.75</v>
      </c>
      <c r="D31">
        <f>C31*C31</f>
        <v>3937.5625</v>
      </c>
      <c r="E31">
        <v>0.54600000000000004</v>
      </c>
      <c r="F31">
        <f t="shared" ref="F31:F32" si="9">1-E31</f>
        <v>0.45399999999999996</v>
      </c>
      <c r="G31" s="8">
        <f t="shared" ref="G31:G32" si="10">F31/F$34</f>
        <v>0.31310344827586206</v>
      </c>
      <c r="H31">
        <f t="shared" ref="H31:H32" si="11">B31/$B$34</f>
        <v>0.45286010489084033</v>
      </c>
      <c r="I31" s="8">
        <f t="shared" ref="I31:I32" si="12">$D$34/D31</f>
        <v>1.3403893652481706</v>
      </c>
      <c r="J31" s="8">
        <f t="shared" ref="J31:J32" si="13">E31/$E$34</f>
        <v>0.35225806451612907</v>
      </c>
      <c r="K31">
        <v>2000</v>
      </c>
      <c r="L31">
        <f t="shared" ref="L31:L32" si="14">H31*I31*G31</f>
        <v>0.19005656987417066</v>
      </c>
      <c r="M31" s="90">
        <f t="shared" ref="M31:M32" si="15">L31/$L$34</f>
        <v>5.9381018732765967E-2</v>
      </c>
      <c r="N31" s="8">
        <f t="shared" ref="N31:N32" si="16">M31*M$5</f>
        <v>5.4898266171564493E-2</v>
      </c>
    </row>
    <row r="32" spans="1:14" x14ac:dyDescent="0.3">
      <c r="A32" s="3" t="s">
        <v>11</v>
      </c>
      <c r="B32" s="7">
        <v>3157</v>
      </c>
      <c r="C32">
        <v>32.880000000000003</v>
      </c>
      <c r="D32">
        <f>C32*C32</f>
        <v>1081.0944000000002</v>
      </c>
      <c r="E32">
        <v>0.55000000000000004</v>
      </c>
      <c r="F32">
        <f t="shared" si="9"/>
        <v>0.44999999999999996</v>
      </c>
      <c r="G32" s="8">
        <f t="shared" si="10"/>
        <v>0.31034482758620685</v>
      </c>
      <c r="H32">
        <f t="shared" si="11"/>
        <v>0.19252347847298451</v>
      </c>
      <c r="I32" s="8">
        <f t="shared" si="12"/>
        <v>4.8819667366698036</v>
      </c>
      <c r="J32" s="8">
        <f t="shared" si="13"/>
        <v>0.35483870967741937</v>
      </c>
      <c r="K32">
        <v>1998</v>
      </c>
      <c r="L32">
        <f t="shared" si="14"/>
        <v>0.29169099866888543</v>
      </c>
      <c r="M32" s="90">
        <f t="shared" si="15"/>
        <v>9.113554278920126E-2</v>
      </c>
      <c r="N32" s="8">
        <f t="shared" si="16"/>
        <v>8.4255598716612451E-2</v>
      </c>
    </row>
    <row r="34" spans="1:14" x14ac:dyDescent="0.3">
      <c r="A34" s="3" t="s">
        <v>141</v>
      </c>
      <c r="B34" s="88">
        <f>SUM(B30:B32)</f>
        <v>16398</v>
      </c>
      <c r="C34" s="88">
        <f t="shared" ref="C34:N34" si="17">SUM(C30:C32)</f>
        <v>111.72999999999999</v>
      </c>
      <c r="D34" s="88">
        <f t="shared" si="17"/>
        <v>5277.8669</v>
      </c>
      <c r="E34" s="88">
        <f t="shared" si="17"/>
        <v>1.55</v>
      </c>
      <c r="F34" s="88">
        <f t="shared" si="17"/>
        <v>1.45</v>
      </c>
      <c r="G34" s="88">
        <f t="shared" si="17"/>
        <v>1</v>
      </c>
      <c r="H34" s="88">
        <f t="shared" si="17"/>
        <v>1</v>
      </c>
      <c r="I34" s="88">
        <f t="shared" si="17"/>
        <v>26.583711373705324</v>
      </c>
      <c r="J34" s="88">
        <f t="shared" si="17"/>
        <v>1</v>
      </c>
      <c r="K34" s="88">
        <f t="shared" si="17"/>
        <v>5999</v>
      </c>
      <c r="L34" s="88">
        <f t="shared" si="17"/>
        <v>3.2006283140659386</v>
      </c>
      <c r="M34" s="88">
        <f t="shared" si="17"/>
        <v>0.99999999999999989</v>
      </c>
      <c r="N34" s="8">
        <f t="shared" si="17"/>
        <v>0.92450866191138736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abSelected="1" workbookViewId="0">
      <pane ySplit="1" topLeftCell="A17" activePane="bottomLeft" state="frozen"/>
      <selection pane="bottomLeft"/>
    </sheetView>
  </sheetViews>
  <sheetFormatPr defaultColWidth="8.777343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12" max="12" width="10" bestFit="1" customWidth="1"/>
    <col min="13" max="13" width="11" bestFit="1" customWidth="1"/>
  </cols>
  <sheetData>
    <row r="1" spans="1:14" ht="57.6" x14ac:dyDescent="0.3">
      <c r="A1" s="1" t="s">
        <v>126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136</v>
      </c>
      <c r="G1" s="1" t="s">
        <v>137</v>
      </c>
      <c r="H1" s="1" t="s">
        <v>4</v>
      </c>
      <c r="I1" s="1" t="s">
        <v>5</v>
      </c>
      <c r="J1" s="1" t="s">
        <v>6</v>
      </c>
      <c r="K1" s="1" t="s">
        <v>46</v>
      </c>
      <c r="L1" s="1" t="s">
        <v>7</v>
      </c>
      <c r="M1" s="2" t="s">
        <v>143</v>
      </c>
      <c r="N1" s="1" t="s">
        <v>144</v>
      </c>
    </row>
    <row r="2" spans="1:14" x14ac:dyDescent="0.3">
      <c r="A2" s="3" t="s">
        <v>10</v>
      </c>
      <c r="B2" s="7">
        <v>4713</v>
      </c>
      <c r="C2">
        <v>52.66</v>
      </c>
      <c r="D2">
        <f>C2*C2</f>
        <v>2773.0755999999997</v>
      </c>
      <c r="E2">
        <v>0.45400000000000001</v>
      </c>
      <c r="F2">
        <f>1-E2</f>
        <v>0.54600000000000004</v>
      </c>
      <c r="G2">
        <f>F2/F$18</f>
        <v>8.4402535167723003E-2</v>
      </c>
      <c r="H2" s="8">
        <f>B2/$B$18</f>
        <v>0.25565500406834823</v>
      </c>
      <c r="I2">
        <f>$D$18/D2</f>
        <v>12.141367079931037</v>
      </c>
      <c r="J2">
        <f>E2/$E$18</f>
        <v>6.0284158810250961E-2</v>
      </c>
      <c r="K2">
        <v>2001</v>
      </c>
      <c r="L2" s="9">
        <f>H2*I2*G2</f>
        <v>0.26198557468193434</v>
      </c>
      <c r="M2" s="10">
        <f>L2/$L$18</f>
        <v>0.14128205488761036</v>
      </c>
    </row>
    <row r="3" spans="1:14" x14ac:dyDescent="0.3">
      <c r="A3" s="3" t="s">
        <v>9</v>
      </c>
      <c r="B3" s="7">
        <v>6425</v>
      </c>
      <c r="C3">
        <v>28.97</v>
      </c>
      <c r="D3">
        <f>C3*C3</f>
        <v>839.26089999999988</v>
      </c>
      <c r="E3">
        <v>0.54600000000000004</v>
      </c>
      <c r="F3">
        <f t="shared" ref="F3:F16" si="0">1-E3</f>
        <v>0.45399999999999996</v>
      </c>
      <c r="G3">
        <f t="shared" ref="G3:G16" si="1">F3/F$18</f>
        <v>7.018086257535941E-2</v>
      </c>
      <c r="H3" s="8">
        <f>B3/$B$18</f>
        <v>0.34852183346894494</v>
      </c>
      <c r="I3">
        <f>$D$18/D3</f>
        <v>40.117356593164303</v>
      </c>
      <c r="J3">
        <f>E3/$E$18</f>
        <v>7.2500331961226933E-2</v>
      </c>
      <c r="K3">
        <v>2000</v>
      </c>
      <c r="L3" s="9">
        <f t="shared" ref="L3:L16" si="2">H3*I3*G3</f>
        <v>0.98125300693999051</v>
      </c>
      <c r="M3" s="10">
        <f>L3/$L$18</f>
        <v>0.5291644066794039</v>
      </c>
    </row>
    <row r="4" spans="1:14" x14ac:dyDescent="0.3">
      <c r="A4" s="3" t="s">
        <v>11</v>
      </c>
      <c r="B4" s="7">
        <v>3157</v>
      </c>
      <c r="C4">
        <v>67.900000000000006</v>
      </c>
      <c r="D4">
        <f>C4*C4</f>
        <v>4610.4100000000008</v>
      </c>
      <c r="E4">
        <v>0.55000000000000004</v>
      </c>
      <c r="F4">
        <f t="shared" si="0"/>
        <v>0.44999999999999996</v>
      </c>
      <c r="G4">
        <f t="shared" si="1"/>
        <v>6.956252898438707E-2</v>
      </c>
      <c r="H4" s="8">
        <f>B4/$B$18</f>
        <v>0.17125033902902087</v>
      </c>
      <c r="I4">
        <f>$D$18/D4</f>
        <v>7.3028057808307709</v>
      </c>
      <c r="J4">
        <f>E4/$E$18</f>
        <v>7.3031469924312836E-2</v>
      </c>
      <c r="K4">
        <v>2000</v>
      </c>
      <c r="L4" s="9">
        <f t="shared" si="2"/>
        <v>8.699545287117999E-2</v>
      </c>
      <c r="M4" s="10">
        <f>L4/$L$18</f>
        <v>4.6914401155256094E-2</v>
      </c>
    </row>
    <row r="5" spans="1:14" x14ac:dyDescent="0.3">
      <c r="A5" s="35" t="s">
        <v>31</v>
      </c>
      <c r="B5" s="36">
        <f>SUM(B2:B4)</f>
        <v>14295</v>
      </c>
      <c r="C5" s="35"/>
      <c r="D5" s="37"/>
      <c r="E5" s="35"/>
      <c r="F5" s="35"/>
      <c r="G5" s="35"/>
      <c r="H5" s="35"/>
      <c r="I5" s="35"/>
      <c r="J5" s="35"/>
      <c r="K5" s="35"/>
      <c r="L5" s="35"/>
      <c r="M5" s="41">
        <f>SUM(M2:M4)</f>
        <v>0.7173608627222704</v>
      </c>
    </row>
    <row r="6" spans="1:14" x14ac:dyDescent="0.3">
      <c r="A6" s="5" t="s">
        <v>12</v>
      </c>
      <c r="B6" s="7">
        <v>48</v>
      </c>
      <c r="C6" s="5">
        <v>80.45</v>
      </c>
      <c r="D6" s="5">
        <f t="shared" ref="D6:D16" si="3">C6*C6</f>
        <v>6472.2025000000003</v>
      </c>
      <c r="E6" s="5">
        <v>0.56499999999999995</v>
      </c>
      <c r="F6">
        <f t="shared" si="0"/>
        <v>0.43500000000000005</v>
      </c>
      <c r="G6">
        <f t="shared" si="1"/>
        <v>6.7243778018240857E-2</v>
      </c>
      <c r="H6" s="11">
        <f t="shared" ref="H6:H16" si="4">B6/$B$18</f>
        <v>2.6037428803905613E-3</v>
      </c>
      <c r="I6" s="5">
        <f t="shared" ref="I6:I16" si="5">$D$18/D6</f>
        <v>5.2020821041986869</v>
      </c>
      <c r="J6" s="5">
        <f t="shared" ref="J6:J16" si="6">E6/$E$18</f>
        <v>7.5023237285884989E-2</v>
      </c>
      <c r="K6" s="5">
        <v>2000</v>
      </c>
      <c r="L6" s="9">
        <f t="shared" si="2"/>
        <v>9.1080918925279036E-4</v>
      </c>
      <c r="M6" s="53">
        <f t="shared" ref="M6:M16" si="7">L6/$L$18</f>
        <v>4.9117587494799594E-4</v>
      </c>
    </row>
    <row r="7" spans="1:14" x14ac:dyDescent="0.3">
      <c r="A7" s="5" t="s">
        <v>13</v>
      </c>
      <c r="B7" s="7">
        <v>54</v>
      </c>
      <c r="C7" s="5">
        <v>41.62</v>
      </c>
      <c r="D7" s="5">
        <f t="shared" si="3"/>
        <v>1732.2243999999998</v>
      </c>
      <c r="E7" s="5">
        <v>0.55400000000000005</v>
      </c>
      <c r="F7">
        <f t="shared" si="0"/>
        <v>0.44599999999999995</v>
      </c>
      <c r="G7">
        <f t="shared" si="1"/>
        <v>6.8944195393414745E-2</v>
      </c>
      <c r="H7" s="11">
        <f t="shared" si="4"/>
        <v>2.9292107404393815E-3</v>
      </c>
      <c r="I7" s="5">
        <f t="shared" si="5"/>
        <v>19.436817077510284</v>
      </c>
      <c r="J7" s="5">
        <f t="shared" si="6"/>
        <v>7.3562607887398754E-2</v>
      </c>
      <c r="K7" s="5">
        <v>1999</v>
      </c>
      <c r="L7" s="9">
        <f t="shared" si="2"/>
        <v>3.9253055914601678E-3</v>
      </c>
      <c r="M7" s="53">
        <f t="shared" si="7"/>
        <v>2.1168159380401219E-3</v>
      </c>
    </row>
    <row r="8" spans="1:14" x14ac:dyDescent="0.3">
      <c r="A8" s="5" t="s">
        <v>14</v>
      </c>
      <c r="B8" s="7">
        <v>1962</v>
      </c>
      <c r="C8" s="5">
        <v>27.64</v>
      </c>
      <c r="D8" s="5">
        <f t="shared" si="3"/>
        <v>763.96960000000001</v>
      </c>
      <c r="E8" s="5">
        <v>0.52900000000000003</v>
      </c>
      <c r="F8">
        <f t="shared" si="0"/>
        <v>0.47099999999999997</v>
      </c>
      <c r="G8">
        <f t="shared" si="1"/>
        <v>7.2808780336991813E-2</v>
      </c>
      <c r="H8" s="11">
        <f t="shared" si="4"/>
        <v>0.10642799023596419</v>
      </c>
      <c r="I8" s="5">
        <f t="shared" si="5"/>
        <v>44.071032145781722</v>
      </c>
      <c r="J8" s="5">
        <f t="shared" si="6"/>
        <v>7.02429956181118E-2</v>
      </c>
      <c r="K8" s="5">
        <v>1999</v>
      </c>
      <c r="L8" s="9">
        <f t="shared" si="2"/>
        <v>0.34150167560085903</v>
      </c>
      <c r="M8" s="53">
        <f t="shared" si="7"/>
        <v>0.18416303468245307</v>
      </c>
    </row>
    <row r="9" spans="1:14" x14ac:dyDescent="0.3">
      <c r="A9" s="5" t="s">
        <v>15</v>
      </c>
      <c r="B9" s="7">
        <v>377</v>
      </c>
      <c r="C9" s="5">
        <v>73.349999999999994</v>
      </c>
      <c r="D9" s="5">
        <f t="shared" si="3"/>
        <v>5380.2224999999989</v>
      </c>
      <c r="E9" s="5">
        <v>0.56799999999999995</v>
      </c>
      <c r="F9">
        <f t="shared" si="0"/>
        <v>0.43200000000000005</v>
      </c>
      <c r="G9">
        <f t="shared" si="1"/>
        <v>6.6780027825011606E-2</v>
      </c>
      <c r="H9" s="11">
        <f t="shared" si="4"/>
        <v>2.0450230539734202E-2</v>
      </c>
      <c r="I9" s="5">
        <f t="shared" si="5"/>
        <v>6.257906396993806</v>
      </c>
      <c r="J9" s="5">
        <f t="shared" si="6"/>
        <v>7.542159075819943E-2</v>
      </c>
      <c r="K9" s="5">
        <v>2000</v>
      </c>
      <c r="L9" s="9">
        <f t="shared" si="2"/>
        <v>8.5462160331283878E-3</v>
      </c>
      <c r="M9" s="53">
        <f t="shared" si="7"/>
        <v>4.6087536084370552E-3</v>
      </c>
    </row>
    <row r="10" spans="1:14" x14ac:dyDescent="0.3">
      <c r="A10" s="5" t="s">
        <v>16</v>
      </c>
      <c r="B10" s="7">
        <v>337</v>
      </c>
      <c r="C10" s="5">
        <v>44.97</v>
      </c>
      <c r="D10" s="5">
        <f t="shared" si="3"/>
        <v>2022.3009</v>
      </c>
      <c r="E10" s="5">
        <v>0.56999999999999995</v>
      </c>
      <c r="F10">
        <f t="shared" si="0"/>
        <v>0.43000000000000005</v>
      </c>
      <c r="G10">
        <f t="shared" si="1"/>
        <v>6.6470861029525444E-2</v>
      </c>
      <c r="H10" s="11">
        <f t="shared" si="4"/>
        <v>1.8280444806075401E-2</v>
      </c>
      <c r="I10" s="5">
        <f t="shared" si="5"/>
        <v>16.648822536745151</v>
      </c>
      <c r="J10" s="5">
        <f t="shared" si="6"/>
        <v>7.5687159739742382E-2</v>
      </c>
      <c r="K10" s="5">
        <v>1999</v>
      </c>
      <c r="L10" s="9">
        <f t="shared" si="2"/>
        <v>2.0230265733763957E-2</v>
      </c>
      <c r="M10" s="53">
        <f t="shared" si="7"/>
        <v>1.0909659882070114E-2</v>
      </c>
    </row>
    <row r="11" spans="1:14" x14ac:dyDescent="0.3">
      <c r="A11" s="5" t="s">
        <v>17</v>
      </c>
      <c r="B11" s="7">
        <v>56</v>
      </c>
      <c r="C11" s="5">
        <v>48.82</v>
      </c>
      <c r="D11" s="5">
        <f t="shared" si="3"/>
        <v>2383.3924000000002</v>
      </c>
      <c r="E11" s="5">
        <v>0.58199999999999996</v>
      </c>
      <c r="F11">
        <f t="shared" si="0"/>
        <v>0.41800000000000004</v>
      </c>
      <c r="G11">
        <f t="shared" si="1"/>
        <v>6.4615860256608454E-2</v>
      </c>
      <c r="H11" s="11">
        <f t="shared" si="4"/>
        <v>3.0377000271223217E-3</v>
      </c>
      <c r="I11" s="5">
        <f t="shared" si="5"/>
        <v>14.126473173280237</v>
      </c>
      <c r="J11" s="5">
        <f t="shared" si="6"/>
        <v>7.7280573629000121E-2</v>
      </c>
      <c r="K11" s="5">
        <v>1999</v>
      </c>
      <c r="L11" s="9">
        <f t="shared" si="2"/>
        <v>2.7727950161687345E-3</v>
      </c>
      <c r="M11" s="53">
        <f t="shared" si="7"/>
        <v>1.4952967473191841E-3</v>
      </c>
    </row>
    <row r="12" spans="1:14" x14ac:dyDescent="0.3">
      <c r="A12" s="5" t="s">
        <v>20</v>
      </c>
      <c r="B12" s="7">
        <v>34</v>
      </c>
      <c r="C12" s="5">
        <v>33.950000000000003</v>
      </c>
      <c r="D12" s="5">
        <f t="shared" si="3"/>
        <v>1152.6025000000002</v>
      </c>
      <c r="E12" s="5">
        <v>0.495</v>
      </c>
      <c r="F12">
        <f t="shared" si="0"/>
        <v>0.505</v>
      </c>
      <c r="G12">
        <f t="shared" si="1"/>
        <v>7.806461586025662E-2</v>
      </c>
      <c r="H12" s="11">
        <f t="shared" si="4"/>
        <v>1.8443178736099811E-3</v>
      </c>
      <c r="I12" s="5">
        <f t="shared" si="5"/>
        <v>29.211223123323084</v>
      </c>
      <c r="J12" s="5">
        <f t="shared" si="6"/>
        <v>6.572832293188155E-2</v>
      </c>
      <c r="K12" s="5">
        <v>2000</v>
      </c>
      <c r="L12" s="9">
        <f t="shared" si="2"/>
        <v>4.2057140767906547E-3</v>
      </c>
      <c r="M12" s="53">
        <f t="shared" si="7"/>
        <v>2.2680329928856436E-3</v>
      </c>
    </row>
    <row r="13" spans="1:14" x14ac:dyDescent="0.3">
      <c r="A13" s="5" t="s">
        <v>21</v>
      </c>
      <c r="B13" s="7">
        <v>58</v>
      </c>
      <c r="C13" s="5">
        <v>38.92</v>
      </c>
      <c r="D13" s="5">
        <f t="shared" si="3"/>
        <v>1514.7664000000002</v>
      </c>
      <c r="E13" s="5">
        <v>0.54500000000000004</v>
      </c>
      <c r="F13">
        <f t="shared" si="0"/>
        <v>0.45499999999999996</v>
      </c>
      <c r="G13">
        <f t="shared" si="1"/>
        <v>7.0335445973102484E-2</v>
      </c>
      <c r="H13" s="11">
        <f t="shared" si="4"/>
        <v>3.1461893138052619E-3</v>
      </c>
      <c r="I13" s="5">
        <f t="shared" si="5"/>
        <v>22.227142614201107</v>
      </c>
      <c r="J13" s="5">
        <f t="shared" si="6"/>
        <v>7.2367547470455457E-2</v>
      </c>
      <c r="K13" s="5">
        <v>2002</v>
      </c>
      <c r="L13" s="9">
        <f t="shared" si="2"/>
        <v>4.9186139046216429E-3</v>
      </c>
      <c r="M13" s="53">
        <f t="shared" si="7"/>
        <v>2.6524814600474922E-3</v>
      </c>
    </row>
    <row r="14" spans="1:14" x14ac:dyDescent="0.3">
      <c r="A14" s="5" t="s">
        <v>22</v>
      </c>
      <c r="B14" s="7">
        <v>112</v>
      </c>
      <c r="C14" s="5">
        <v>40.75</v>
      </c>
      <c r="D14" s="5">
        <f t="shared" si="3"/>
        <v>1660.5625</v>
      </c>
      <c r="E14" s="5">
        <v>0.54900000000000004</v>
      </c>
      <c r="F14">
        <f t="shared" si="0"/>
        <v>0.45099999999999996</v>
      </c>
      <c r="G14">
        <f t="shared" si="1"/>
        <v>6.9717112382130159E-2</v>
      </c>
      <c r="H14" s="11">
        <f t="shared" si="4"/>
        <v>6.0754000542446434E-3</v>
      </c>
      <c r="I14" s="5">
        <f t="shared" si="5"/>
        <v>20.275616726259926</v>
      </c>
      <c r="J14" s="5">
        <f t="shared" si="6"/>
        <v>7.289868543354136E-2</v>
      </c>
      <c r="K14" s="5">
        <v>1999</v>
      </c>
      <c r="L14" s="9">
        <f t="shared" si="2"/>
        <v>8.5879270079319801E-3</v>
      </c>
      <c r="M14" s="53">
        <f t="shared" si="7"/>
        <v>4.6312472600007776E-3</v>
      </c>
    </row>
    <row r="15" spans="1:14" x14ac:dyDescent="0.3">
      <c r="A15" s="5" t="s">
        <v>23</v>
      </c>
      <c r="B15" s="7">
        <v>578</v>
      </c>
      <c r="C15" s="5">
        <v>33.549999999999997</v>
      </c>
      <c r="D15" s="5">
        <f t="shared" si="3"/>
        <v>1125.6024999999997</v>
      </c>
      <c r="E15" s="5">
        <v>0.53300000000000003</v>
      </c>
      <c r="F15">
        <f t="shared" si="0"/>
        <v>0.46699999999999997</v>
      </c>
      <c r="G15">
        <f t="shared" si="1"/>
        <v>7.2190446746019474E-2</v>
      </c>
      <c r="H15" s="11">
        <f t="shared" si="4"/>
        <v>3.1353403851369678E-2</v>
      </c>
      <c r="I15" s="5">
        <f t="shared" si="5"/>
        <v>29.911917217667881</v>
      </c>
      <c r="J15" s="5">
        <f t="shared" si="6"/>
        <v>7.0774133581197718E-2</v>
      </c>
      <c r="K15" s="5">
        <v>1999</v>
      </c>
      <c r="L15" s="9">
        <f t="shared" si="2"/>
        <v>6.7703118931956768E-2</v>
      </c>
      <c r="M15" s="53">
        <f t="shared" si="7"/>
        <v>3.6510543668749236E-2</v>
      </c>
    </row>
    <row r="16" spans="1:14" x14ac:dyDescent="0.3">
      <c r="A16" s="5" t="s">
        <v>24</v>
      </c>
      <c r="B16" s="7">
        <v>524</v>
      </c>
      <c r="C16" s="5">
        <v>35.19</v>
      </c>
      <c r="D16" s="5">
        <f t="shared" si="3"/>
        <v>1238.3360999999998</v>
      </c>
      <c r="E16" s="5">
        <v>0.49099999999999999</v>
      </c>
      <c r="F16">
        <f t="shared" si="0"/>
        <v>0.50900000000000001</v>
      </c>
      <c r="G16">
        <f t="shared" si="1"/>
        <v>7.8682949451228945E-2</v>
      </c>
      <c r="H16" s="11">
        <f t="shared" si="4"/>
        <v>2.8424193110930297E-2</v>
      </c>
      <c r="I16" s="5">
        <f t="shared" si="5"/>
        <v>27.188845419268652</v>
      </c>
      <c r="J16" s="5">
        <f t="shared" si="6"/>
        <v>6.5197184968795632E-2</v>
      </c>
      <c r="K16" s="5">
        <v>2000</v>
      </c>
      <c r="L16" s="9">
        <f t="shared" si="2"/>
        <v>6.0807835100356644E-2</v>
      </c>
      <c r="M16" s="53">
        <f t="shared" si="7"/>
        <v>3.2792095162779047E-2</v>
      </c>
    </row>
    <row r="17" spans="1:14" x14ac:dyDescent="0.3">
      <c r="A17" s="38" t="s">
        <v>32</v>
      </c>
      <c r="B17" s="39">
        <f>SUM(B6:B16)</f>
        <v>4140</v>
      </c>
      <c r="C17" s="38"/>
      <c r="D17" s="40"/>
      <c r="E17" s="38"/>
      <c r="F17" s="38"/>
      <c r="G17" s="38"/>
      <c r="H17" s="38"/>
      <c r="I17" s="38"/>
      <c r="J17" s="38"/>
      <c r="K17" s="38"/>
      <c r="L17" s="38"/>
      <c r="M17" s="54">
        <f>SUM(M6:M16)</f>
        <v>0.28263913727772971</v>
      </c>
    </row>
    <row r="18" spans="1:14" x14ac:dyDescent="0.3">
      <c r="A18" t="s">
        <v>25</v>
      </c>
      <c r="B18" s="7">
        <f>B17+B5</f>
        <v>18435</v>
      </c>
      <c r="C18">
        <f t="shared" ref="C18:J18" si="8">SUM(C2:C4,C6:C16)</f>
        <v>648.74</v>
      </c>
      <c r="D18">
        <f t="shared" si="8"/>
        <v>33668.928800000002</v>
      </c>
      <c r="E18">
        <f t="shared" si="8"/>
        <v>7.5310000000000006</v>
      </c>
      <c r="F18">
        <f t="shared" si="8"/>
        <v>6.4689999999999994</v>
      </c>
      <c r="G18">
        <f t="shared" si="8"/>
        <v>1.0000000000000002</v>
      </c>
      <c r="H18" s="8">
        <f t="shared" si="8"/>
        <v>0.99999999999999978</v>
      </c>
      <c r="I18">
        <f t="shared" si="8"/>
        <v>294.11940798915668</v>
      </c>
      <c r="J18">
        <f t="shared" si="8"/>
        <v>1</v>
      </c>
      <c r="L18" s="9">
        <f>SUM(L2:L4,L6:L16)</f>
        <v>1.8543443106793953</v>
      </c>
      <c r="M18" s="42">
        <f>M17+M5</f>
        <v>1</v>
      </c>
    </row>
    <row r="19" spans="1:14" x14ac:dyDescent="0.3">
      <c r="B19" s="7"/>
    </row>
    <row r="20" spans="1:14" x14ac:dyDescent="0.3">
      <c r="A20" s="48" t="s">
        <v>52</v>
      </c>
    </row>
    <row r="21" spans="1:14" x14ac:dyDescent="0.3">
      <c r="A21" t="s">
        <v>50</v>
      </c>
    </row>
    <row r="22" spans="1:14" x14ac:dyDescent="0.3">
      <c r="A22" t="s">
        <v>51</v>
      </c>
    </row>
    <row r="23" spans="1:14" x14ac:dyDescent="0.3">
      <c r="B23" t="s">
        <v>145</v>
      </c>
    </row>
    <row r="24" spans="1:14" x14ac:dyDescent="0.3">
      <c r="A24" s="3" t="s">
        <v>10</v>
      </c>
      <c r="B24" s="7">
        <v>5815</v>
      </c>
      <c r="C24">
        <v>52.66</v>
      </c>
      <c r="D24">
        <f>C24*C24</f>
        <v>2773.0755999999997</v>
      </c>
      <c r="E24">
        <v>0.45400000000000001</v>
      </c>
      <c r="F24">
        <f>1-E24</f>
        <v>0.54600000000000004</v>
      </c>
      <c r="G24" s="8">
        <f>F24/F$28</f>
        <v>0.37655172413793109</v>
      </c>
      <c r="H24" s="8">
        <f>B24/$B$28</f>
        <v>0.35461641663617516</v>
      </c>
      <c r="I24" s="8">
        <f>$D$28/D24</f>
        <v>2.9652081969925388</v>
      </c>
      <c r="J24" s="8">
        <f>E24/$E$28</f>
        <v>0.29290322580645162</v>
      </c>
      <c r="K24">
        <v>2001</v>
      </c>
      <c r="L24" s="9">
        <f>H24*I24*G24</f>
        <v>0.39594847030837826</v>
      </c>
      <c r="M24" s="10">
        <f>L24/$L$28</f>
        <v>0.2093045378993019</v>
      </c>
      <c r="N24">
        <f>M24*M$5</f>
        <v>0.15014688387912936</v>
      </c>
    </row>
    <row r="25" spans="1:14" x14ac:dyDescent="0.3">
      <c r="A25" s="3" t="s">
        <v>9</v>
      </c>
      <c r="B25" s="7">
        <v>7426</v>
      </c>
      <c r="C25">
        <v>28.97</v>
      </c>
      <c r="D25">
        <f>C25*C25</f>
        <v>839.26089999999988</v>
      </c>
      <c r="E25">
        <v>0.54600000000000004</v>
      </c>
      <c r="F25">
        <f t="shared" ref="F25:F26" si="9">1-E25</f>
        <v>0.45399999999999996</v>
      </c>
      <c r="G25" s="8">
        <f t="shared" ref="G25:G26" si="10">F25/F$28</f>
        <v>0.31310344827586206</v>
      </c>
      <c r="H25" s="8">
        <f t="shared" ref="H25:H26" si="11">B25/$B$28</f>
        <v>0.45286010489084033</v>
      </c>
      <c r="I25" s="8">
        <f t="shared" ref="I25:I26" si="12">$D$28/D25</f>
        <v>9.7976046542856956</v>
      </c>
      <c r="J25" s="8">
        <f t="shared" ref="J25:J26" si="13">E25/$E$28</f>
        <v>0.35225806451612907</v>
      </c>
      <c r="K25">
        <v>2000</v>
      </c>
      <c r="L25" s="9">
        <f t="shared" ref="L25:L26" si="14">H25*I25*G25</f>
        <v>1.3892225511890604</v>
      </c>
      <c r="M25" s="10">
        <f t="shared" ref="M25:M26" si="15">L25/$L$28</f>
        <v>0.73436471137128889</v>
      </c>
      <c r="N25">
        <f t="shared" ref="N25:N26" si="16">M25*M$5</f>
        <v>0.5268045029020989</v>
      </c>
    </row>
    <row r="26" spans="1:14" x14ac:dyDescent="0.3">
      <c r="A26" s="3" t="s">
        <v>11</v>
      </c>
      <c r="B26" s="7">
        <v>3157</v>
      </c>
      <c r="C26">
        <v>67.900000000000006</v>
      </c>
      <c r="D26">
        <f>C26*C26</f>
        <v>4610.4100000000008</v>
      </c>
      <c r="E26">
        <v>0.55000000000000004</v>
      </c>
      <c r="F26">
        <f t="shared" si="9"/>
        <v>0.44999999999999996</v>
      </c>
      <c r="G26" s="8">
        <f t="shared" si="10"/>
        <v>0.31034482758620685</v>
      </c>
      <c r="H26" s="8">
        <f t="shared" si="11"/>
        <v>0.19252347847298451</v>
      </c>
      <c r="I26" s="8">
        <f t="shared" si="12"/>
        <v>1.783517409514555</v>
      </c>
      <c r="J26" s="8">
        <f t="shared" si="13"/>
        <v>0.35483870967741937</v>
      </c>
      <c r="K26">
        <v>2000</v>
      </c>
      <c r="L26" s="9">
        <f t="shared" si="14"/>
        <v>0.10656278553006263</v>
      </c>
      <c r="M26" s="10">
        <f t="shared" si="15"/>
        <v>5.6330750729409289E-2</v>
      </c>
      <c r="N26">
        <f t="shared" si="16"/>
        <v>4.040947594104221E-2</v>
      </c>
    </row>
    <row r="28" spans="1:14" x14ac:dyDescent="0.3">
      <c r="A28" s="3" t="s">
        <v>142</v>
      </c>
      <c r="B28" s="88">
        <f>SUM(B24:B26)</f>
        <v>16398</v>
      </c>
      <c r="C28" s="88">
        <f t="shared" ref="C28:N28" si="17">SUM(C24:C26)</f>
        <v>149.53</v>
      </c>
      <c r="D28" s="88">
        <f t="shared" si="17"/>
        <v>8222.7465000000011</v>
      </c>
      <c r="E28" s="88">
        <f t="shared" si="17"/>
        <v>1.55</v>
      </c>
      <c r="F28" s="88">
        <f t="shared" si="17"/>
        <v>1.45</v>
      </c>
      <c r="G28" s="88">
        <f t="shared" si="17"/>
        <v>1</v>
      </c>
      <c r="H28" s="88">
        <f t="shared" si="17"/>
        <v>1</v>
      </c>
      <c r="I28" s="88">
        <f t="shared" si="17"/>
        <v>14.546330260792789</v>
      </c>
      <c r="J28" s="88">
        <f t="shared" si="17"/>
        <v>1</v>
      </c>
      <c r="K28" s="88">
        <f t="shared" si="17"/>
        <v>6001</v>
      </c>
      <c r="L28" s="88">
        <f t="shared" si="17"/>
        <v>1.8917338070275012</v>
      </c>
      <c r="M28" s="8">
        <f t="shared" si="17"/>
        <v>1</v>
      </c>
      <c r="N28" s="8">
        <f t="shared" si="17"/>
        <v>0.7173608627222704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13" zoomScale="110" zoomScaleNormal="110" zoomScalePageLayoutView="110" workbookViewId="0">
      <selection activeCell="H42" sqref="H42"/>
    </sheetView>
  </sheetViews>
  <sheetFormatPr defaultColWidth="8.77734375" defaultRowHeight="14.4" x14ac:dyDescent="0.3"/>
  <cols>
    <col min="1" max="1" width="15.109375" customWidth="1"/>
  </cols>
  <sheetData>
    <row r="2" spans="1:15" x14ac:dyDescent="0.3">
      <c r="A2" t="s">
        <v>57</v>
      </c>
      <c r="B2" t="s">
        <v>58</v>
      </c>
      <c r="C2" t="s">
        <v>59</v>
      </c>
      <c r="F2" t="s">
        <v>103</v>
      </c>
      <c r="K2" t="s">
        <v>127</v>
      </c>
      <c r="N2" t="s">
        <v>62</v>
      </c>
    </row>
    <row r="3" spans="1:15" x14ac:dyDescent="0.3">
      <c r="A3" t="s">
        <v>60</v>
      </c>
      <c r="B3" s="87">
        <v>2001</v>
      </c>
      <c r="C3" s="87">
        <v>137</v>
      </c>
      <c r="F3" t="s">
        <v>104</v>
      </c>
      <c r="G3">
        <v>2000</v>
      </c>
      <c r="H3">
        <v>268</v>
      </c>
      <c r="K3">
        <v>1999</v>
      </c>
      <c r="L3">
        <v>78</v>
      </c>
      <c r="N3">
        <v>1999</v>
      </c>
      <c r="O3">
        <v>125</v>
      </c>
    </row>
    <row r="4" spans="1:15" x14ac:dyDescent="0.3">
      <c r="A4" t="s">
        <v>62</v>
      </c>
      <c r="B4">
        <v>2001</v>
      </c>
      <c r="C4">
        <v>136</v>
      </c>
      <c r="F4" t="s">
        <v>105</v>
      </c>
      <c r="G4">
        <v>2000</v>
      </c>
      <c r="H4">
        <v>267</v>
      </c>
      <c r="K4">
        <v>2000</v>
      </c>
      <c r="L4">
        <v>83</v>
      </c>
      <c r="N4">
        <v>2000</v>
      </c>
      <c r="O4">
        <v>200</v>
      </c>
    </row>
    <row r="5" spans="1:15" x14ac:dyDescent="0.3">
      <c r="A5" t="s">
        <v>61</v>
      </c>
      <c r="B5">
        <v>2001</v>
      </c>
      <c r="C5">
        <v>4114</v>
      </c>
      <c r="F5" t="s">
        <v>106</v>
      </c>
      <c r="G5">
        <v>2000</v>
      </c>
      <c r="H5">
        <v>282</v>
      </c>
      <c r="K5">
        <v>2001</v>
      </c>
      <c r="L5">
        <v>137</v>
      </c>
      <c r="N5">
        <v>2001</v>
      </c>
      <c r="O5">
        <v>136</v>
      </c>
    </row>
    <row r="6" spans="1:15" x14ac:dyDescent="0.3">
      <c r="A6" t="s">
        <v>63</v>
      </c>
      <c r="B6">
        <v>2001</v>
      </c>
      <c r="C6">
        <v>89</v>
      </c>
      <c r="F6" t="s">
        <v>107</v>
      </c>
      <c r="G6">
        <v>1998</v>
      </c>
      <c r="H6">
        <v>2214</v>
      </c>
      <c r="K6">
        <v>2002</v>
      </c>
      <c r="L6">
        <v>193</v>
      </c>
      <c r="N6">
        <v>2002</v>
      </c>
      <c r="O6">
        <v>141</v>
      </c>
    </row>
    <row r="7" spans="1:15" x14ac:dyDescent="0.3">
      <c r="A7" t="s">
        <v>64</v>
      </c>
      <c r="B7">
        <v>2001</v>
      </c>
      <c r="C7">
        <v>96</v>
      </c>
      <c r="F7" t="s">
        <v>108</v>
      </c>
      <c r="G7">
        <v>2000</v>
      </c>
      <c r="H7">
        <v>86</v>
      </c>
    </row>
    <row r="8" spans="1:15" x14ac:dyDescent="0.3">
      <c r="C8">
        <f>SUM(C3:C7)</f>
        <v>4572</v>
      </c>
      <c r="F8" t="s">
        <v>109</v>
      </c>
      <c r="G8">
        <v>2000</v>
      </c>
      <c r="H8">
        <v>40</v>
      </c>
      <c r="K8" t="s">
        <v>63</v>
      </c>
      <c r="N8" t="s">
        <v>128</v>
      </c>
    </row>
    <row r="9" spans="1:15" x14ac:dyDescent="0.3">
      <c r="H9">
        <f>SUM(H3:H8)</f>
        <v>3157</v>
      </c>
      <c r="K9">
        <v>1999</v>
      </c>
      <c r="L9">
        <v>108</v>
      </c>
      <c r="N9">
        <v>1999</v>
      </c>
      <c r="O9">
        <v>68</v>
      </c>
    </row>
    <row r="10" spans="1:15" x14ac:dyDescent="0.3">
      <c r="K10">
        <v>2000</v>
      </c>
      <c r="L10">
        <v>110</v>
      </c>
      <c r="N10">
        <v>2000</v>
      </c>
      <c r="O10">
        <v>87</v>
      </c>
    </row>
    <row r="11" spans="1:15" x14ac:dyDescent="0.3">
      <c r="A11" t="s">
        <v>15</v>
      </c>
      <c r="F11" t="s">
        <v>77</v>
      </c>
      <c r="K11">
        <v>2001</v>
      </c>
      <c r="L11">
        <v>89</v>
      </c>
      <c r="N11">
        <v>2001</v>
      </c>
      <c r="O11">
        <v>96</v>
      </c>
    </row>
    <row r="12" spans="1:15" x14ac:dyDescent="0.3">
      <c r="A12" t="s">
        <v>65</v>
      </c>
      <c r="B12">
        <v>2000</v>
      </c>
      <c r="C12">
        <v>75</v>
      </c>
      <c r="F12" t="s">
        <v>78</v>
      </c>
      <c r="G12">
        <v>2001</v>
      </c>
      <c r="K12">
        <v>2002</v>
      </c>
      <c r="L12">
        <v>119</v>
      </c>
      <c r="N12">
        <v>2002</v>
      </c>
      <c r="O12">
        <f>SUM(6)</f>
        <v>6</v>
      </c>
    </row>
    <row r="13" spans="1:15" x14ac:dyDescent="0.3">
      <c r="A13" t="s">
        <v>66</v>
      </c>
      <c r="B13">
        <v>2000</v>
      </c>
      <c r="C13">
        <v>72</v>
      </c>
      <c r="F13" t="s">
        <v>110</v>
      </c>
      <c r="G13">
        <v>2000</v>
      </c>
      <c r="H13">
        <v>34</v>
      </c>
    </row>
    <row r="14" spans="1:15" x14ac:dyDescent="0.3">
      <c r="A14" t="s">
        <v>67</v>
      </c>
      <c r="B14">
        <v>2000</v>
      </c>
      <c r="C14">
        <v>61</v>
      </c>
      <c r="M14" t="s">
        <v>129</v>
      </c>
    </row>
    <row r="15" spans="1:15" x14ac:dyDescent="0.3">
      <c r="A15" t="s">
        <v>68</v>
      </c>
      <c r="B15">
        <v>2000</v>
      </c>
      <c r="C15">
        <v>22</v>
      </c>
      <c r="M15">
        <v>1999</v>
      </c>
      <c r="N15">
        <f>SUM(L3+O3+L9+O9)</f>
        <v>379</v>
      </c>
    </row>
    <row r="16" spans="1:15" x14ac:dyDescent="0.3">
      <c r="A16" t="s">
        <v>69</v>
      </c>
      <c r="B16">
        <v>2000</v>
      </c>
      <c r="C16">
        <v>23</v>
      </c>
      <c r="M16">
        <v>2000</v>
      </c>
      <c r="N16">
        <f>SUM(L4+O4+L10+O10)</f>
        <v>480</v>
      </c>
    </row>
    <row r="17" spans="1:14" x14ac:dyDescent="0.3">
      <c r="A17" t="s">
        <v>70</v>
      </c>
      <c r="B17">
        <v>2000</v>
      </c>
      <c r="C17">
        <v>30</v>
      </c>
      <c r="F17" t="s">
        <v>79</v>
      </c>
      <c r="M17">
        <v>2001</v>
      </c>
      <c r="N17">
        <f>SUM(L5+O5+L11+O11)</f>
        <v>458</v>
      </c>
    </row>
    <row r="18" spans="1:14" x14ac:dyDescent="0.3">
      <c r="A18" t="s">
        <v>71</v>
      </c>
      <c r="B18">
        <v>2000</v>
      </c>
      <c r="C18">
        <v>94</v>
      </c>
      <c r="F18" t="s">
        <v>111</v>
      </c>
      <c r="G18">
        <v>2000</v>
      </c>
      <c r="H18">
        <v>180</v>
      </c>
      <c r="M18">
        <v>2002</v>
      </c>
      <c r="N18">
        <f>SUM(L6+O6+L12+O12)</f>
        <v>459</v>
      </c>
    </row>
    <row r="19" spans="1:14" x14ac:dyDescent="0.3">
      <c r="C19">
        <f>SUM(C12:C18)</f>
        <v>377</v>
      </c>
      <c r="F19" t="s">
        <v>112</v>
      </c>
      <c r="G19">
        <v>2000</v>
      </c>
      <c r="H19">
        <v>10</v>
      </c>
    </row>
    <row r="20" spans="1:14" x14ac:dyDescent="0.3">
      <c r="F20" t="s">
        <v>113</v>
      </c>
      <c r="G20">
        <v>2000</v>
      </c>
      <c r="H20">
        <v>220</v>
      </c>
    </row>
    <row r="21" spans="1:14" x14ac:dyDescent="0.3">
      <c r="F21" t="s">
        <v>114</v>
      </c>
      <c r="G21">
        <v>2000</v>
      </c>
      <c r="H21">
        <v>114</v>
      </c>
    </row>
    <row r="22" spans="1:14" x14ac:dyDescent="0.3">
      <c r="A22" t="s">
        <v>72</v>
      </c>
      <c r="H22">
        <f>SUM(H18:H21)</f>
        <v>524</v>
      </c>
    </row>
    <row r="23" spans="1:14" x14ac:dyDescent="0.3">
      <c r="A23" t="s">
        <v>73</v>
      </c>
      <c r="B23">
        <v>2000</v>
      </c>
    </row>
    <row r="25" spans="1:14" x14ac:dyDescent="0.3">
      <c r="F25" t="s">
        <v>80</v>
      </c>
      <c r="J25" t="s">
        <v>91</v>
      </c>
      <c r="K25">
        <v>2002</v>
      </c>
      <c r="L25">
        <v>56</v>
      </c>
    </row>
    <row r="26" spans="1:14" x14ac:dyDescent="0.3">
      <c r="F26" t="s">
        <v>81</v>
      </c>
      <c r="G26">
        <v>1999</v>
      </c>
      <c r="H26">
        <v>104</v>
      </c>
      <c r="J26" t="s">
        <v>92</v>
      </c>
      <c r="K26">
        <v>2002</v>
      </c>
      <c r="L26">
        <v>2</v>
      </c>
    </row>
    <row r="27" spans="1:14" x14ac:dyDescent="0.3">
      <c r="A27" t="s">
        <v>76</v>
      </c>
      <c r="B27">
        <v>1999</v>
      </c>
      <c r="F27" t="s">
        <v>82</v>
      </c>
      <c r="G27">
        <v>1999</v>
      </c>
      <c r="H27">
        <v>126</v>
      </c>
      <c r="J27" t="s">
        <v>116</v>
      </c>
      <c r="L27">
        <f>SUM(L25:L26)</f>
        <v>58</v>
      </c>
    </row>
    <row r="28" spans="1:14" x14ac:dyDescent="0.3">
      <c r="A28" t="s">
        <v>76</v>
      </c>
      <c r="B28">
        <v>2000</v>
      </c>
      <c r="F28" t="s">
        <v>83</v>
      </c>
      <c r="G28">
        <v>1999</v>
      </c>
      <c r="H28">
        <v>225</v>
      </c>
    </row>
    <row r="29" spans="1:14" x14ac:dyDescent="0.3">
      <c r="A29" t="s">
        <v>76</v>
      </c>
      <c r="B29">
        <v>2001</v>
      </c>
      <c r="F29" t="s">
        <v>84</v>
      </c>
      <c r="G29">
        <v>1999</v>
      </c>
      <c r="H29">
        <v>329</v>
      </c>
      <c r="J29" t="s">
        <v>93</v>
      </c>
      <c r="K29">
        <v>1999</v>
      </c>
      <c r="L29">
        <v>88</v>
      </c>
    </row>
    <row r="30" spans="1:14" x14ac:dyDescent="0.3">
      <c r="A30" t="s">
        <v>76</v>
      </c>
      <c r="B30">
        <v>2002</v>
      </c>
      <c r="F30" t="s">
        <v>119</v>
      </c>
      <c r="G30">
        <v>1999</v>
      </c>
      <c r="H30">
        <v>199</v>
      </c>
      <c r="J30" t="s">
        <v>94</v>
      </c>
      <c r="K30">
        <v>1999</v>
      </c>
      <c r="L30">
        <v>24</v>
      </c>
    </row>
    <row r="31" spans="1:14" x14ac:dyDescent="0.3">
      <c r="F31" t="s">
        <v>120</v>
      </c>
      <c r="G31">
        <v>1999</v>
      </c>
      <c r="H31">
        <v>136</v>
      </c>
      <c r="J31" t="s">
        <v>117</v>
      </c>
      <c r="L31">
        <f>SUM(L29:L30)</f>
        <v>112</v>
      </c>
    </row>
    <row r="32" spans="1:14" x14ac:dyDescent="0.3">
      <c r="F32" t="s">
        <v>121</v>
      </c>
      <c r="G32">
        <v>1999</v>
      </c>
      <c r="H32">
        <v>785</v>
      </c>
    </row>
    <row r="33" spans="1:12" x14ac:dyDescent="0.3">
      <c r="A33" t="s">
        <v>74</v>
      </c>
      <c r="B33">
        <v>2001</v>
      </c>
      <c r="F33" t="s">
        <v>122</v>
      </c>
      <c r="G33">
        <v>1999</v>
      </c>
      <c r="H33">
        <v>58</v>
      </c>
    </row>
    <row r="34" spans="1:12" x14ac:dyDescent="0.3">
      <c r="H34">
        <f>SUM(H26:H33)</f>
        <v>1962</v>
      </c>
    </row>
    <row r="35" spans="1:12" x14ac:dyDescent="0.3">
      <c r="A35" t="s">
        <v>19</v>
      </c>
      <c r="B35">
        <v>1999</v>
      </c>
    </row>
    <row r="36" spans="1:12" x14ac:dyDescent="0.3">
      <c r="L36" t="s">
        <v>101</v>
      </c>
    </row>
    <row r="37" spans="1:12" x14ac:dyDescent="0.3">
      <c r="A37" t="s">
        <v>75</v>
      </c>
      <c r="B37">
        <v>1999</v>
      </c>
      <c r="F37" t="s">
        <v>85</v>
      </c>
      <c r="J37" t="s">
        <v>95</v>
      </c>
      <c r="K37">
        <v>1999</v>
      </c>
      <c r="L37">
        <v>4</v>
      </c>
    </row>
    <row r="38" spans="1:12" x14ac:dyDescent="0.3">
      <c r="F38" t="s">
        <v>86</v>
      </c>
      <c r="G38">
        <v>1999</v>
      </c>
      <c r="H38">
        <v>101</v>
      </c>
      <c r="J38" t="s">
        <v>118</v>
      </c>
      <c r="K38">
        <v>1999</v>
      </c>
    </row>
    <row r="39" spans="1:12" x14ac:dyDescent="0.3">
      <c r="F39" t="s">
        <v>87</v>
      </c>
      <c r="G39">
        <v>1999</v>
      </c>
      <c r="J39" t="s">
        <v>96</v>
      </c>
      <c r="K39">
        <v>1999</v>
      </c>
    </row>
    <row r="40" spans="1:12" x14ac:dyDescent="0.3">
      <c r="A40" t="s">
        <v>123</v>
      </c>
      <c r="F40" t="s">
        <v>88</v>
      </c>
      <c r="G40">
        <v>1999</v>
      </c>
      <c r="J40" t="s">
        <v>97</v>
      </c>
      <c r="K40">
        <v>1999</v>
      </c>
      <c r="L40">
        <v>132</v>
      </c>
    </row>
    <row r="41" spans="1:12" x14ac:dyDescent="0.3">
      <c r="A41" t="s">
        <v>124</v>
      </c>
      <c r="B41">
        <v>1999</v>
      </c>
      <c r="C41">
        <v>56</v>
      </c>
      <c r="F41" t="s">
        <v>89</v>
      </c>
      <c r="G41">
        <v>1999</v>
      </c>
      <c r="H41">
        <v>236</v>
      </c>
      <c r="J41" t="s">
        <v>98</v>
      </c>
      <c r="K41">
        <v>1999</v>
      </c>
      <c r="L41">
        <v>223</v>
      </c>
    </row>
    <row r="42" spans="1:12" x14ac:dyDescent="0.3">
      <c r="H42">
        <f>SUM(H38:H41)</f>
        <v>337</v>
      </c>
      <c r="I42" s="3"/>
      <c r="J42" t="s">
        <v>99</v>
      </c>
      <c r="K42">
        <v>1999</v>
      </c>
      <c r="L42">
        <v>219</v>
      </c>
    </row>
    <row r="43" spans="1:12" x14ac:dyDescent="0.3">
      <c r="A43" t="s">
        <v>125</v>
      </c>
      <c r="B43">
        <v>2000</v>
      </c>
      <c r="C43">
        <v>28</v>
      </c>
      <c r="J43" t="s">
        <v>100</v>
      </c>
      <c r="L43">
        <f>SUM(L37:L42)</f>
        <v>578</v>
      </c>
    </row>
  </sheetData>
  <pageMargins left="0.7" right="0.7" top="0.75" bottom="0.75" header="0.3" footer="0.3"/>
  <pageSetup paperSize="9" orientation="portrait" horizontalDpi="4294967293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71FFD1B571BE2883E0537D20C80A46C7" version="1.0.0">
  <systemFields>
    <field name="Objective-Id">
      <value order="0">A2735635</value>
    </field>
    <field name="Objective-Title">
      <value order="0">2018 09 24 Neart na Gaoithe - Offshore wind - Reapportioning of Breeding Season - Razorbill</value>
    </field>
    <field name="Objective-Description">
      <value order="0"/>
    </field>
    <field name="Objective-CreationStamp">
      <value order="0">2018-09-24T12:15:19Z</value>
    </field>
    <field name="Objective-IsApproved">
      <value order="0">false</value>
    </field>
    <field name="Objective-IsPublished">
      <value order="0">true</value>
    </field>
    <field name="Objective-DatePublished">
      <value order="0">2018-09-24T15:20:34Z</value>
    </field>
    <field name="Objective-ModificationStamp">
      <value order="0">2018-09-24T15:20:34Z</value>
    </field>
    <field name="Objective-Owner">
      <value order="0">Glen Tyler</value>
    </field>
    <field name="Objective-Path">
      <value order="0">Objective Global Folder:SNH Fileplan:CNS - Consultations:REN - Renewable Resources:OSWF - Off-shore Wind Farms:NNG - Neart Na Gaoithe:Neart na Gaoithe - Offshore Wind - reapplication</value>
    </field>
    <field name="Objective-Parent">
      <value order="0">Neart na Gaoithe - Offshore Wind - reapplication</value>
    </field>
    <field name="Objective-State">
      <value order="0">Published</value>
    </field>
    <field name="Objective-VersionId">
      <value order="0">vA4852614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qA130512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CRM Apportioned Totals</vt:lpstr>
      <vt:lpstr>SB2K-Inchcape-RA</vt:lpstr>
      <vt:lpstr>SB2K-NNG-RA</vt:lpstr>
      <vt:lpstr>SB2K-Seagreen-RA</vt:lpstr>
      <vt:lpstr>Sheet1</vt:lpstr>
    </vt:vector>
  </TitlesOfParts>
  <Company>Joint Nature Conservation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Saint</dc:creator>
  <cp:lastModifiedBy>Glen Tyler</cp:lastModifiedBy>
  <dcterms:created xsi:type="dcterms:W3CDTF">2014-01-10T14:11:20Z</dcterms:created>
  <dcterms:modified xsi:type="dcterms:W3CDTF">2018-09-24T15:20:22Z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A2735635</vt:lpwstr>
  </property>
  <property fmtid="{D5CDD505-2E9C-101B-9397-08002B2CF9AE}" pid="4" name="Objective-Title">
    <vt:lpwstr>2018 09 24 Neart na Gaoithe - Offshore wind - Reapportioning of Breeding Season - Razorbill</vt:lpwstr>
  </property>
  <property fmtid="{D5CDD505-2E9C-101B-9397-08002B2CF9AE}" pid="5" name="Objective-Comment">
    <vt:lpwstr/>
  </property>
  <property fmtid="{D5CDD505-2E9C-101B-9397-08002B2CF9AE}" pid="6" name="Objective-CreationStamp">
    <vt:filetime>2018-09-24T12:15:44Z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2018-09-24T15:20:34Z</vt:filetime>
  </property>
  <property fmtid="{D5CDD505-2E9C-101B-9397-08002B2CF9AE}" pid="10" name="Objective-ModificationStamp">
    <vt:filetime>2018-09-24T15:20:35Z</vt:filetime>
  </property>
  <property fmtid="{D5CDD505-2E9C-101B-9397-08002B2CF9AE}" pid="11" name="Objective-Owner">
    <vt:lpwstr>Glen Tyler</vt:lpwstr>
  </property>
  <property fmtid="{D5CDD505-2E9C-101B-9397-08002B2CF9AE}" pid="12" name="Objective-Path">
    <vt:lpwstr>Objective Global Folder:SNH Fileplan:CNS - Consultations:REN - Renewable Resources:OSWF - Off-shore Wind Farms:NNG - Neart Na Gaoithe:Neart na Gaoithe - Offshore Wind - reapplication:</vt:lpwstr>
  </property>
  <property fmtid="{D5CDD505-2E9C-101B-9397-08002B2CF9AE}" pid="13" name="Objective-Parent">
    <vt:lpwstr>Neart na Gaoithe - Offshore Wind - reapplication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r8>3</vt:r8>
  </property>
  <property fmtid="{D5CDD505-2E9C-101B-9397-08002B2CF9AE}" pid="17" name="Objective-VersionComment">
    <vt:lpwstr>rename sheets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Description">
    <vt:lpwstr/>
  </property>
  <property fmtid="{D5CDD505-2E9C-101B-9397-08002B2CF9AE}" pid="33" name="Objective-VersionId">
    <vt:lpwstr>vA4852614</vt:lpwstr>
  </property>
  <property fmtid="{D5CDD505-2E9C-101B-9397-08002B2CF9AE}" pid="34" name="Objective-EIR Exception">
    <vt:lpwstr>Release</vt:lpwstr>
  </property>
  <property fmtid="{D5CDD505-2E9C-101B-9397-08002B2CF9AE}" pid="35" name="Objective-FOI Exemption">
    <vt:lpwstr>Release</vt:lpwstr>
  </property>
  <property fmtid="{D5CDD505-2E9C-101B-9397-08002B2CF9AE}" pid="36" name="Objective-DPA Exemption">
    <vt:lpwstr>Release</vt:lpwstr>
  </property>
  <property fmtid="{D5CDD505-2E9C-101B-9397-08002B2CF9AE}" pid="37" name="Objective-Justification">
    <vt:lpwstr/>
  </property>
  <property fmtid="{D5CDD505-2E9C-101B-9397-08002B2CF9AE}" pid="38" name="Objective-Date of Original">
    <vt:lpwstr/>
  </property>
  <property fmtid="{D5CDD505-2E9C-101B-9397-08002B2CF9AE}" pid="39" name="Objective-Sensitivity Review Date">
    <vt:lpwstr/>
  </property>
  <property fmtid="{D5CDD505-2E9C-101B-9397-08002B2CF9AE}" pid="40" name="Objective-FOI/EIR Disclosure Date">
    <vt:lpwstr/>
  </property>
  <property fmtid="{D5CDD505-2E9C-101B-9397-08002B2CF9AE}" pid="41" name="Objective-Date of Release">
    <vt:lpwstr/>
  </property>
  <property fmtid="{D5CDD505-2E9C-101B-9397-08002B2CF9AE}" pid="42" name="Objective-FOI Release Details">
    <vt:lpwstr/>
  </property>
  <property fmtid="{D5CDD505-2E9C-101B-9397-08002B2CF9AE}" pid="43" name="Objective-FOI/EIR Dissemination Date">
    <vt:lpwstr/>
  </property>
  <property fmtid="{D5CDD505-2E9C-101B-9397-08002B2CF9AE}" pid="44" name="Objective-Connect Creator">
    <vt:lpwstr/>
  </property>
  <property fmtid="{D5CDD505-2E9C-101B-9397-08002B2CF9AE}" pid="45" name="Objective-Date of Request">
    <vt:lpwstr/>
  </property>
  <property fmtid="{D5CDD505-2E9C-101B-9397-08002B2CF9AE}" pid="46" name="Objective-Connect Creator [system]">
    <vt:lpwstr/>
  </property>
</Properties>
</file>