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6" windowWidth="23256" windowHeight="11760" tabRatio="911"/>
  </bookViews>
  <sheets>
    <sheet name="CRM Apportioned Totals" sheetId="5" r:id="rId1"/>
    <sheet name="SB2K-Inchcape-GU" sheetId="1" r:id="rId2"/>
    <sheet name="SB2K-NNG-GU" sheetId="3" r:id="rId3"/>
    <sheet name="SB2K-Seagreen-GU" sheetId="2" r:id="rId4"/>
    <sheet name="Sheet1" sheetId="6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2"/>
  <c r="D12" i="3"/>
  <c r="D13" i="3"/>
  <c r="N18" i="6"/>
  <c r="N17" i="6"/>
  <c r="N16" i="6"/>
  <c r="N15" i="6"/>
  <c r="L44" i="6"/>
  <c r="H42" i="6"/>
  <c r="H34" i="6"/>
  <c r="L32" i="6"/>
  <c r="L28" i="6"/>
  <c r="H22" i="6"/>
  <c r="C19" i="6"/>
  <c r="H9" i="6"/>
  <c r="C8" i="6"/>
  <c r="C23" i="2"/>
  <c r="E23" i="2"/>
  <c r="H2" i="2"/>
  <c r="H14" i="2"/>
  <c r="B22" i="2"/>
  <c r="B6" i="2"/>
  <c r="B23" i="2"/>
  <c r="F14" i="2"/>
  <c r="D2" i="2"/>
  <c r="D3" i="2"/>
  <c r="D4" i="2"/>
  <c r="D5" i="2"/>
  <c r="D7" i="2"/>
  <c r="D8" i="2"/>
  <c r="D9" i="2"/>
  <c r="D10" i="2"/>
  <c r="D11" i="2"/>
  <c r="D12" i="2"/>
  <c r="D13" i="2"/>
  <c r="D15" i="2"/>
  <c r="D16" i="2"/>
  <c r="D17" i="2"/>
  <c r="D18" i="2"/>
  <c r="D19" i="2"/>
  <c r="D20" i="2"/>
  <c r="D21" i="2"/>
  <c r="D23" i="2"/>
  <c r="G14" i="2"/>
  <c r="J14" i="2"/>
  <c r="B6" i="1"/>
  <c r="H20" i="2"/>
  <c r="E25" i="1"/>
  <c r="H15" i="1"/>
  <c r="B24" i="1"/>
  <c r="B25" i="1"/>
  <c r="F15" i="1"/>
  <c r="D2" i="1"/>
  <c r="D3" i="1"/>
  <c r="D4" i="1"/>
  <c r="D5" i="1"/>
  <c r="D7" i="1"/>
  <c r="D8" i="1"/>
  <c r="D9" i="1"/>
  <c r="D10" i="1"/>
  <c r="D11" i="1"/>
  <c r="D13" i="1"/>
  <c r="D14" i="1"/>
  <c r="D16" i="1"/>
  <c r="D17" i="1"/>
  <c r="D18" i="1"/>
  <c r="D19" i="1"/>
  <c r="D20" i="1"/>
  <c r="D21" i="1"/>
  <c r="D22" i="1"/>
  <c r="D23" i="1"/>
  <c r="D25" i="1"/>
  <c r="G15" i="1"/>
  <c r="J15" i="1"/>
  <c r="C25" i="1"/>
  <c r="C25" i="3"/>
  <c r="E25" i="3"/>
  <c r="D23" i="3"/>
  <c r="D22" i="3"/>
  <c r="D21" i="3"/>
  <c r="D20" i="3"/>
  <c r="D19" i="3"/>
  <c r="D18" i="3"/>
  <c r="D17" i="3"/>
  <c r="D16" i="3"/>
  <c r="D15" i="3"/>
  <c r="D14" i="3"/>
  <c r="D11" i="3"/>
  <c r="D10" i="3"/>
  <c r="D9" i="3"/>
  <c r="D8" i="3"/>
  <c r="D7" i="3"/>
  <c r="D2" i="3"/>
  <c r="B6" i="3"/>
  <c r="D5" i="3"/>
  <c r="D3" i="3"/>
  <c r="D4" i="3"/>
  <c r="H13" i="3"/>
  <c r="H12" i="3"/>
  <c r="B24" i="3"/>
  <c r="B25" i="3"/>
  <c r="F12" i="3"/>
  <c r="H14" i="1"/>
  <c r="H2" i="1"/>
  <c r="H22" i="3"/>
  <c r="H2" i="3"/>
  <c r="H11" i="1"/>
  <c r="D25" i="3"/>
  <c r="G12" i="3"/>
  <c r="H8" i="1"/>
  <c r="H20" i="1"/>
  <c r="H4" i="1"/>
  <c r="H21" i="1"/>
  <c r="H9" i="3"/>
  <c r="H10" i="3"/>
  <c r="H19" i="3"/>
  <c r="H5" i="3"/>
  <c r="H14" i="3"/>
  <c r="H11" i="3"/>
  <c r="H4" i="3"/>
  <c r="H20" i="3"/>
  <c r="H3" i="3"/>
  <c r="H8" i="3"/>
  <c r="H16" i="3"/>
  <c r="H21" i="3"/>
  <c r="H15" i="3"/>
  <c r="H23" i="3"/>
  <c r="H7" i="3"/>
  <c r="H17" i="3"/>
  <c r="H18" i="3"/>
  <c r="H11" i="2"/>
  <c r="H4" i="2"/>
  <c r="H12" i="2"/>
  <c r="H13" i="2"/>
  <c r="H19" i="2"/>
  <c r="H5" i="2"/>
  <c r="H10" i="2"/>
  <c r="H16" i="2"/>
  <c r="H21" i="2"/>
  <c r="H17" i="2"/>
  <c r="H18" i="2"/>
  <c r="H3" i="2"/>
  <c r="H7" i="2"/>
  <c r="H8" i="2"/>
  <c r="H9" i="2"/>
  <c r="H15" i="2"/>
  <c r="H9" i="1"/>
  <c r="H10" i="1"/>
  <c r="H18" i="1"/>
  <c r="H23" i="1"/>
  <c r="H5" i="1"/>
  <c r="H7" i="1"/>
  <c r="H13" i="1"/>
  <c r="H19" i="1"/>
  <c r="H3" i="1"/>
  <c r="H16" i="1"/>
  <c r="H17" i="1"/>
  <c r="H22" i="1"/>
  <c r="F14" i="1"/>
  <c r="H23" i="2"/>
  <c r="F2" i="2"/>
  <c r="G2" i="2"/>
  <c r="J2" i="2"/>
  <c r="G18" i="2"/>
  <c r="F11" i="2"/>
  <c r="J12" i="3"/>
  <c r="G2" i="3"/>
  <c r="G13" i="3"/>
  <c r="F2" i="3"/>
  <c r="F13" i="3"/>
  <c r="G18" i="3"/>
  <c r="G11" i="1"/>
  <c r="G2" i="1"/>
  <c r="J2" i="3"/>
  <c r="G13" i="2"/>
  <c r="G18" i="1"/>
  <c r="H25" i="1"/>
  <c r="G7" i="1"/>
  <c r="G13" i="1"/>
  <c r="G23" i="1"/>
  <c r="G19" i="1"/>
  <c r="G3" i="1"/>
  <c r="G9" i="1"/>
  <c r="G20" i="1"/>
  <c r="G21" i="1"/>
  <c r="G3" i="3"/>
  <c r="G16" i="3"/>
  <c r="G20" i="3"/>
  <c r="G15" i="3"/>
  <c r="G17" i="3"/>
  <c r="G11" i="3"/>
  <c r="G10" i="3"/>
  <c r="G9" i="3"/>
  <c r="G14" i="3"/>
  <c r="G8" i="3"/>
  <c r="G7" i="3"/>
  <c r="G22" i="3"/>
  <c r="G21" i="3"/>
  <c r="H25" i="3"/>
  <c r="G5" i="3"/>
  <c r="G4" i="3"/>
  <c r="G23" i="3"/>
  <c r="G19" i="3"/>
  <c r="G8" i="2"/>
  <c r="G7" i="2"/>
  <c r="G21" i="2"/>
  <c r="G15" i="2"/>
  <c r="G3" i="2"/>
  <c r="G11" i="2"/>
  <c r="G17" i="2"/>
  <c r="G5" i="2"/>
  <c r="G10" i="2"/>
  <c r="G12" i="2"/>
  <c r="G9" i="2"/>
  <c r="G4" i="2"/>
  <c r="G16" i="2"/>
  <c r="G19" i="2"/>
  <c r="G20" i="2"/>
  <c r="F19" i="2"/>
  <c r="F10" i="2"/>
  <c r="F4" i="1"/>
  <c r="F23" i="1"/>
  <c r="F9" i="1"/>
  <c r="G16" i="1"/>
  <c r="G8" i="1"/>
  <c r="G10" i="1"/>
  <c r="G14" i="1"/>
  <c r="J14" i="1"/>
  <c r="G17" i="1"/>
  <c r="G4" i="1"/>
  <c r="G22" i="1"/>
  <c r="G5" i="1"/>
  <c r="F10" i="1"/>
  <c r="F2" i="1"/>
  <c r="F5" i="1"/>
  <c r="F20" i="1"/>
  <c r="F16" i="1"/>
  <c r="F21" i="1"/>
  <c r="F17" i="1"/>
  <c r="F11" i="1"/>
  <c r="J11" i="1"/>
  <c r="F7" i="1"/>
  <c r="F21" i="2"/>
  <c r="F8" i="2"/>
  <c r="F4" i="2"/>
  <c r="F18" i="2"/>
  <c r="F13" i="2"/>
  <c r="J13" i="2"/>
  <c r="F9" i="2"/>
  <c r="F17" i="2"/>
  <c r="F12" i="2"/>
  <c r="F5" i="2"/>
  <c r="F3" i="2"/>
  <c r="J3" i="2"/>
  <c r="F3" i="1"/>
  <c r="F7" i="2"/>
  <c r="F13" i="1"/>
  <c r="F15" i="2"/>
  <c r="F16" i="2"/>
  <c r="F19" i="1"/>
  <c r="F8" i="1"/>
  <c r="F20" i="2"/>
  <c r="F22" i="1"/>
  <c r="F18" i="1"/>
  <c r="J18" i="2"/>
  <c r="G23" i="2"/>
  <c r="J11" i="2"/>
  <c r="F23" i="2"/>
  <c r="J13" i="3"/>
  <c r="J2" i="1"/>
  <c r="F20" i="3"/>
  <c r="J20" i="3"/>
  <c r="J18" i="1"/>
  <c r="J7" i="1"/>
  <c r="F25" i="1"/>
  <c r="F16" i="3"/>
  <c r="J16" i="3"/>
  <c r="F11" i="3"/>
  <c r="J11" i="3"/>
  <c r="F4" i="3"/>
  <c r="J4" i="3"/>
  <c r="F22" i="3"/>
  <c r="J22" i="3"/>
  <c r="F17" i="3"/>
  <c r="J17" i="3"/>
  <c r="F21" i="3"/>
  <c r="J21" i="3"/>
  <c r="F23" i="3"/>
  <c r="J23" i="3"/>
  <c r="F7" i="3"/>
  <c r="J7" i="3"/>
  <c r="F10" i="3"/>
  <c r="J10" i="3"/>
  <c r="F18" i="3"/>
  <c r="J18" i="3"/>
  <c r="F3" i="3"/>
  <c r="J3" i="3"/>
  <c r="F8" i="3"/>
  <c r="J8" i="3"/>
  <c r="F9" i="3"/>
  <c r="J9" i="3"/>
  <c r="F5" i="3"/>
  <c r="J5" i="3"/>
  <c r="F14" i="3"/>
  <c r="J14" i="3"/>
  <c r="F15" i="3"/>
  <c r="J15" i="3"/>
  <c r="F19" i="3"/>
  <c r="J19" i="3"/>
  <c r="J17" i="2"/>
  <c r="G25" i="1"/>
  <c r="J13" i="1"/>
  <c r="J17" i="1"/>
  <c r="J5" i="1"/>
  <c r="J9" i="1"/>
  <c r="J21" i="1"/>
  <c r="J4" i="1"/>
  <c r="J20" i="1"/>
  <c r="J19" i="1"/>
  <c r="J3" i="1"/>
  <c r="J16" i="1"/>
  <c r="J23" i="1"/>
  <c r="G25" i="3"/>
  <c r="J7" i="2"/>
  <c r="J21" i="2"/>
  <c r="J8" i="2"/>
  <c r="J15" i="2"/>
  <c r="J9" i="2"/>
  <c r="J19" i="2"/>
  <c r="J10" i="2"/>
  <c r="J5" i="2"/>
  <c r="J20" i="2"/>
  <c r="J12" i="2"/>
  <c r="J16" i="2"/>
  <c r="J8" i="1"/>
  <c r="J22" i="1"/>
  <c r="J10" i="1"/>
  <c r="J4" i="2"/>
  <c r="J23" i="2"/>
  <c r="J25" i="1"/>
  <c r="J25" i="3"/>
  <c r="K12" i="3"/>
  <c r="F25" i="3"/>
  <c r="K22" i="1"/>
  <c r="K15" i="1"/>
  <c r="K2" i="2"/>
  <c r="K14" i="2"/>
  <c r="K4" i="2"/>
  <c r="D8" i="5"/>
  <c r="D26" i="5"/>
  <c r="L26" i="5"/>
  <c r="K7" i="2"/>
  <c r="K2" i="3"/>
  <c r="C6" i="5"/>
  <c r="C24" i="5"/>
  <c r="K13" i="3"/>
  <c r="K23" i="3"/>
  <c r="K9" i="3"/>
  <c r="K8" i="1"/>
  <c r="K21" i="1"/>
  <c r="K18" i="1"/>
  <c r="K2" i="1"/>
  <c r="B6" i="5"/>
  <c r="K7" i="1"/>
  <c r="K5" i="1"/>
  <c r="K16" i="1"/>
  <c r="K4" i="1"/>
  <c r="B8" i="5"/>
  <c r="B26" i="5"/>
  <c r="K14" i="1"/>
  <c r="K7" i="3"/>
  <c r="K5" i="3"/>
  <c r="C9" i="5"/>
  <c r="C27" i="5"/>
  <c r="K17" i="3"/>
  <c r="K15" i="3"/>
  <c r="K21" i="3"/>
  <c r="K10" i="3"/>
  <c r="K8" i="3"/>
  <c r="K3" i="3"/>
  <c r="C7" i="5"/>
  <c r="C25" i="5"/>
  <c r="K18" i="3"/>
  <c r="K14" i="3"/>
  <c r="K16" i="3"/>
  <c r="K11" i="3"/>
  <c r="K4" i="3"/>
  <c r="C8" i="5"/>
  <c r="C26" i="5"/>
  <c r="K22" i="3"/>
  <c r="K20" i="3"/>
  <c r="K19" i="3"/>
  <c r="K3" i="1"/>
  <c r="B7" i="5"/>
  <c r="B25" i="5"/>
  <c r="K10" i="1"/>
  <c r="K23" i="1"/>
  <c r="K13" i="1"/>
  <c r="K20" i="1"/>
  <c r="K17" i="1"/>
  <c r="K11" i="1"/>
  <c r="K19" i="1"/>
  <c r="K9" i="1"/>
  <c r="K10" i="2"/>
  <c r="K19" i="2"/>
  <c r="K11" i="2"/>
  <c r="K16" i="2"/>
  <c r="K15" i="2"/>
  <c r="D6" i="5"/>
  <c r="D24" i="5"/>
  <c r="K18" i="2"/>
  <c r="K13" i="2"/>
  <c r="K8" i="2"/>
  <c r="K21" i="2"/>
  <c r="K17" i="2"/>
  <c r="K20" i="2"/>
  <c r="K9" i="2"/>
  <c r="K12" i="2"/>
  <c r="K5" i="2"/>
  <c r="D9" i="5"/>
  <c r="D27" i="5"/>
  <c r="K3" i="2"/>
  <c r="D7" i="5"/>
  <c r="D25" i="5"/>
  <c r="M26" i="5"/>
  <c r="G26" i="5"/>
  <c r="H26" i="5"/>
  <c r="R26" i="5"/>
  <c r="Q26" i="5"/>
  <c r="L24" i="5"/>
  <c r="Q24" i="5"/>
  <c r="K24" i="3"/>
  <c r="K6" i="3"/>
  <c r="Q27" i="5"/>
  <c r="M27" i="5"/>
  <c r="G24" i="5"/>
  <c r="L27" i="5"/>
  <c r="G27" i="5"/>
  <c r="L25" i="5"/>
  <c r="G25" i="5"/>
  <c r="Q25" i="5"/>
  <c r="B9" i="5"/>
  <c r="B27" i="5"/>
  <c r="K6" i="1"/>
  <c r="R27" i="5"/>
  <c r="H27" i="5"/>
  <c r="R25" i="5"/>
  <c r="H25" i="5"/>
  <c r="M25" i="5"/>
  <c r="R24" i="5"/>
  <c r="M24" i="5"/>
  <c r="H24" i="5"/>
  <c r="O26" i="5"/>
  <c r="J26" i="5"/>
  <c r="E26" i="5"/>
  <c r="B24" i="5"/>
  <c r="J25" i="5"/>
  <c r="E25" i="5"/>
  <c r="O25" i="5"/>
  <c r="P24" i="5"/>
  <c r="F24" i="5"/>
  <c r="K24" i="5"/>
  <c r="F26" i="5"/>
  <c r="P26" i="5"/>
  <c r="K26" i="5"/>
  <c r="P25" i="5"/>
  <c r="F25" i="5"/>
  <c r="K25" i="5"/>
  <c r="P27" i="5"/>
  <c r="K27" i="5"/>
  <c r="F27" i="5"/>
  <c r="K24" i="1"/>
  <c r="B11" i="5"/>
  <c r="C11" i="5"/>
  <c r="C28" i="5"/>
  <c r="C29" i="5"/>
  <c r="K6" i="2"/>
  <c r="D10" i="5"/>
  <c r="K22" i="2"/>
  <c r="E24" i="5"/>
  <c r="J27" i="5"/>
  <c r="E27" i="5"/>
  <c r="O27" i="5"/>
  <c r="K23" i="2"/>
  <c r="D11" i="5"/>
  <c r="B10" i="5"/>
  <c r="B12" i="5"/>
  <c r="K25" i="1"/>
  <c r="B28" i="5"/>
  <c r="B29" i="5"/>
  <c r="O24" i="5"/>
  <c r="J24" i="5"/>
  <c r="C10" i="5"/>
  <c r="C12" i="5"/>
  <c r="K25" i="3"/>
  <c r="K28" i="5"/>
  <c r="K29" i="5"/>
  <c r="P28" i="5"/>
  <c r="P29" i="5"/>
  <c r="F28" i="5"/>
  <c r="F29" i="5"/>
  <c r="D28" i="5"/>
  <c r="D29" i="5"/>
  <c r="D12" i="5"/>
  <c r="E28" i="5"/>
  <c r="E29" i="5"/>
  <c r="J28" i="5"/>
  <c r="J29" i="5"/>
  <c r="O28" i="5"/>
  <c r="O29" i="5"/>
  <c r="Q28" i="5"/>
  <c r="Q29" i="5"/>
  <c r="L28" i="5"/>
  <c r="L29" i="5"/>
  <c r="G28" i="5"/>
  <c r="G29" i="5"/>
  <c r="H28" i="5"/>
  <c r="R28" i="5"/>
  <c r="M28" i="5"/>
  <c r="H29" i="5"/>
  <c r="R29" i="5"/>
  <c r="M29" i="5"/>
</calcChain>
</file>

<file path=xl/comments1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2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3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sharedStrings.xml><?xml version="1.0" encoding="utf-8"?>
<sst xmlns="http://schemas.openxmlformats.org/spreadsheetml/2006/main" count="238" uniqueCount="140">
  <si>
    <t>Kittiwake Colony Name</t>
  </si>
  <si>
    <t>Pop (Individs)</t>
  </si>
  <si>
    <t>Distance</t>
  </si>
  <si>
    <t>Distance ^2</t>
  </si>
  <si>
    <t>Proportion Sea</t>
  </si>
  <si>
    <t>Colpop/sumpop</t>
  </si>
  <si>
    <t>Sum dist2/col dist2</t>
  </si>
  <si>
    <t>colsea/sumsea</t>
  </si>
  <si>
    <t>SNHWeighting</t>
  </si>
  <si>
    <t>SNH prop</t>
  </si>
  <si>
    <t>Fowlsheugh</t>
  </si>
  <si>
    <t>Forth Islands</t>
  </si>
  <si>
    <t>St Abbs Head to Fast Castle</t>
  </si>
  <si>
    <t>Buchan Ness</t>
  </si>
  <si>
    <t>Berwick to Border</t>
  </si>
  <si>
    <t>Burn of Daff</t>
  </si>
  <si>
    <t>Catterline to Inv</t>
  </si>
  <si>
    <t>Dunbar Coast</t>
  </si>
  <si>
    <t>Eyemouth to Burnmouth</t>
  </si>
  <si>
    <t>Findon Ness - Hare Ness</t>
  </si>
  <si>
    <t>Girdle Ness to Hare Ness</t>
  </si>
  <si>
    <t>Inchcolm</t>
  </si>
  <si>
    <t>Inchkeith</t>
  </si>
  <si>
    <t>Montrose to Lunnan Bay</t>
  </si>
  <si>
    <t>Newton Hill</t>
  </si>
  <si>
    <t>Newton Hill - Hall Bay</t>
  </si>
  <si>
    <t>St Abbs to Eyemouth</t>
  </si>
  <si>
    <t>Stonehaven to wine cove</t>
  </si>
  <si>
    <t>Whiting Ness to Ethie Haven SSSI</t>
  </si>
  <si>
    <t>Sum</t>
  </si>
  <si>
    <t>Farne Islands</t>
  </si>
  <si>
    <t>Seahouses</t>
  </si>
  <si>
    <t>Inch Cape</t>
  </si>
  <si>
    <t>NNG</t>
  </si>
  <si>
    <t>Seagreen</t>
  </si>
  <si>
    <t>SPA Total</t>
  </si>
  <si>
    <t>Non-SPA Total</t>
  </si>
  <si>
    <t>SB2K</t>
  </si>
  <si>
    <t>Total SPA</t>
  </si>
  <si>
    <t>Non-SPA</t>
  </si>
  <si>
    <t>Total SPA and Non-SPA</t>
  </si>
  <si>
    <t>Total on Projects</t>
  </si>
  <si>
    <t>Worst Case Scenarios (Option 1)</t>
  </si>
  <si>
    <t>Worst Case Scenarios (Option 2)</t>
  </si>
  <si>
    <t>Worst Case Scenarios (for Option 3)</t>
  </si>
  <si>
    <t>Proportion of Impact</t>
  </si>
  <si>
    <t>Option 1</t>
  </si>
  <si>
    <t>Option 2</t>
  </si>
  <si>
    <t>Option 3</t>
  </si>
  <si>
    <t xml:space="preserve">Inch Cape </t>
  </si>
  <si>
    <t>Total</t>
  </si>
  <si>
    <t xml:space="preserve">Buchan Ness to Collieston Coast SPA </t>
  </si>
  <si>
    <t xml:space="preserve">Fowlsheugh SPA </t>
  </si>
  <si>
    <t xml:space="preserve">Forth Islands SPA </t>
  </si>
  <si>
    <t xml:space="preserve">St Abb’s Head to Fastcastle SPA </t>
  </si>
  <si>
    <t>Non-SPA Proportion</t>
  </si>
  <si>
    <t>Year Counted</t>
  </si>
  <si>
    <t>SPA TOTAL</t>
  </si>
  <si>
    <t>Table 1. Apportioned % per Colony Per Project</t>
  </si>
  <si>
    <t>Table 3. Apportioning Seabird 2K (SB2K)</t>
  </si>
  <si>
    <t>nb/  Stonehaven to Wine Cove is referred to as Crawton - Stonehaven (Fowlsheugh)</t>
  </si>
  <si>
    <t>nb/ Fowlsheugh SPA is comprised of sites Fowlsheugh 2-5 &amp; Trollochy Cove</t>
  </si>
  <si>
    <t>Colony counts taken from either JNCC SMP database (http://jncc.defra.gov.uk/smp/) or SB2K database (http://jncc.defra.gov.uk/files/Seabird%202000.zip)</t>
  </si>
  <si>
    <t>Seagreen Alpha</t>
  </si>
  <si>
    <t>Seagreen Bravo</t>
  </si>
  <si>
    <t>Totals</t>
  </si>
  <si>
    <t>Number of Breeding Season Collisions</t>
  </si>
  <si>
    <t>Guillemot Colony Name</t>
  </si>
  <si>
    <t>Site</t>
  </si>
  <si>
    <t xml:space="preserve">Year </t>
  </si>
  <si>
    <t>Count</t>
  </si>
  <si>
    <t>Broadhaven to Moorburn point</t>
  </si>
  <si>
    <t>Bass Rock</t>
  </si>
  <si>
    <t>BRMP/B</t>
  </si>
  <si>
    <t>Craig</t>
  </si>
  <si>
    <t>BRMP/C</t>
  </si>
  <si>
    <t>IOM</t>
  </si>
  <si>
    <t>Fast Castle</t>
  </si>
  <si>
    <t>Fidra</t>
  </si>
  <si>
    <t>St Abbs</t>
  </si>
  <si>
    <t>lamb</t>
  </si>
  <si>
    <t>MPFC/C</t>
  </si>
  <si>
    <t>MPFC/D</t>
  </si>
  <si>
    <t>Lunan Bay to Arbroath</t>
  </si>
  <si>
    <t>EB1</t>
  </si>
  <si>
    <t>Auch/C</t>
  </si>
  <si>
    <t>EB2</t>
  </si>
  <si>
    <t>Auch/B</t>
  </si>
  <si>
    <t>EB3</t>
  </si>
  <si>
    <t>EB4</t>
  </si>
  <si>
    <t>EB5</t>
  </si>
  <si>
    <t>EB6</t>
  </si>
  <si>
    <t>Whiting ness</t>
  </si>
  <si>
    <t>EB7</t>
  </si>
  <si>
    <t>WE4/A</t>
  </si>
  <si>
    <t>WE5/A</t>
  </si>
  <si>
    <t>WE7/A</t>
  </si>
  <si>
    <t>WE8/A</t>
  </si>
  <si>
    <t>Northumberland</t>
  </si>
  <si>
    <t>Berwick to Scottish border</t>
  </si>
  <si>
    <t>Catterline to Inverbervie</t>
  </si>
  <si>
    <t>Newton hill</t>
  </si>
  <si>
    <t>CI9</t>
  </si>
  <si>
    <t>DOHB/A</t>
  </si>
  <si>
    <t>CI7</t>
  </si>
  <si>
    <t>MUC/B</t>
  </si>
  <si>
    <t>CI8</t>
  </si>
  <si>
    <t>CI4</t>
  </si>
  <si>
    <t>Newtonhill to Hall Bay</t>
  </si>
  <si>
    <t>CI5</t>
  </si>
  <si>
    <t>NH1/A</t>
  </si>
  <si>
    <t>CI3</t>
  </si>
  <si>
    <t>NH2/A</t>
  </si>
  <si>
    <t>CI6</t>
  </si>
  <si>
    <t>CI10</t>
  </si>
  <si>
    <t>Inchmickery</t>
  </si>
  <si>
    <t>Findon Ness to Hare Ness</t>
  </si>
  <si>
    <t>Stonehaven</t>
  </si>
  <si>
    <t>HNSC/A</t>
  </si>
  <si>
    <t>DN3/B</t>
  </si>
  <si>
    <t>Hare</t>
  </si>
  <si>
    <t>DN4/C</t>
  </si>
  <si>
    <t>Cove</t>
  </si>
  <si>
    <t>Findon</t>
  </si>
  <si>
    <t>Thorny</t>
  </si>
  <si>
    <t>Cove/A</t>
  </si>
  <si>
    <t>SCFN/A</t>
  </si>
  <si>
    <t>DN1/B</t>
  </si>
  <si>
    <t>DN1/C</t>
  </si>
  <si>
    <t>Forvie</t>
  </si>
  <si>
    <t>DN2/B</t>
  </si>
  <si>
    <t>Bass</t>
  </si>
  <si>
    <t>Lamb</t>
  </si>
  <si>
    <t>Lothian</t>
  </si>
  <si>
    <t>BDNH/A</t>
  </si>
  <si>
    <t>Montrose to Lunan Bay</t>
  </si>
  <si>
    <t>Girdleness to Hare Ness</t>
  </si>
  <si>
    <t>Sands of Forvie</t>
  </si>
  <si>
    <t>Guillemot Apportioning</t>
  </si>
  <si>
    <t>Table 2. Worst Case Scenarios  - Guillemot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</si>
</sst>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_-* #,##0.0000000_-;\-* #,##0.0000000_-;_-* &quot;-&quot;??_-;_-@_-"/>
    <numFmt numFmtId="167" formatCode="0.000"/>
    <numFmt numFmtId="168" formatCode="_-* #,##0.00_-;\-* #,##0.00_-;_-* &quot;-&quot;???????_-;_-@_-"/>
    <numFmt numFmtId="169" formatCode="_-* #,##0.00000_-;\-* #,##0.00000_-;_-* &quot;-&quot;??_-;_-@_-"/>
    <numFmt numFmtId="170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>
      <alignment wrapText="1"/>
    </xf>
  </cellStyleXfs>
  <cellXfs count="120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 applyFont="1"/>
    <xf numFmtId="0" fontId="4" fillId="0" borderId="0" xfId="0" applyFont="1"/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166" fontId="0" fillId="2" borderId="0" xfId="0" applyNumberFormat="1" applyFill="1"/>
    <xf numFmtId="43" fontId="0" fillId="0" borderId="0" xfId="0" applyNumberFormat="1" applyFont="1"/>
    <xf numFmtId="165" fontId="0" fillId="0" borderId="0" xfId="0" applyNumberFormat="1" applyFont="1"/>
    <xf numFmtId="43" fontId="0" fillId="0" borderId="0" xfId="1" applyNumberFormat="1" applyFont="1"/>
    <xf numFmtId="0" fontId="3" fillId="0" borderId="0" xfId="0" applyFont="1"/>
    <xf numFmtId="2" fontId="0" fillId="0" borderId="0" xfId="0" applyNumberFormat="1"/>
    <xf numFmtId="0" fontId="7" fillId="0" borderId="0" xfId="0" applyFont="1"/>
    <xf numFmtId="0" fontId="3" fillId="0" borderId="9" xfId="0" applyFont="1" applyBorder="1"/>
    <xf numFmtId="0" fontId="3" fillId="0" borderId="11" xfId="0" applyFont="1" applyBorder="1"/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7" fillId="0" borderId="9" xfId="0" applyFont="1" applyBorder="1"/>
    <xf numFmtId="0" fontId="13" fillId="0" borderId="0" xfId="0" applyFont="1"/>
    <xf numFmtId="167" fontId="0" fillId="0" borderId="0" xfId="0" applyNumberFormat="1" applyFont="1" applyBorder="1"/>
    <xf numFmtId="167" fontId="0" fillId="0" borderId="0" xfId="0" applyNumberFormat="1" applyFont="1"/>
    <xf numFmtId="10" fontId="0" fillId="0" borderId="5" xfId="0" applyNumberFormat="1" applyFont="1" applyFill="1" applyBorder="1"/>
    <xf numFmtId="10" fontId="0" fillId="0" borderId="0" xfId="0" applyNumberFormat="1" applyFont="1" applyBorder="1"/>
    <xf numFmtId="0" fontId="3" fillId="0" borderId="15" xfId="0" applyFont="1" applyBorder="1" applyAlignment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16" fillId="5" borderId="0" xfId="0" applyFont="1" applyFill="1"/>
    <xf numFmtId="164" fontId="16" fillId="5" borderId="0" xfId="1" applyNumberFormat="1" applyFont="1" applyFill="1"/>
    <xf numFmtId="43" fontId="16" fillId="5" borderId="0" xfId="1" applyFont="1" applyFill="1"/>
    <xf numFmtId="0" fontId="3" fillId="5" borderId="0" xfId="0" applyFont="1" applyFill="1"/>
    <xf numFmtId="164" fontId="3" fillId="5" borderId="0" xfId="1" applyNumberFormat="1" applyFont="1" applyFill="1"/>
    <xf numFmtId="43" fontId="3" fillId="5" borderId="0" xfId="1" applyFont="1" applyFill="1"/>
    <xf numFmtId="166" fontId="16" fillId="5" borderId="0" xfId="0" applyNumberFormat="1" applyFont="1" applyFill="1"/>
    <xf numFmtId="168" fontId="0" fillId="0" borderId="0" xfId="0" applyNumberForma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3" fillId="0" borderId="7" xfId="0" applyFont="1" applyBorder="1"/>
    <xf numFmtId="0" fontId="9" fillId="0" borderId="0" xfId="0" applyFont="1" applyBorder="1"/>
    <xf numFmtId="0" fontId="9" fillId="0" borderId="7" xfId="0" applyFont="1" applyBorder="1"/>
    <xf numFmtId="0" fontId="17" fillId="0" borderId="0" xfId="0" applyFont="1"/>
    <xf numFmtId="164" fontId="0" fillId="0" borderId="0" xfId="1" applyNumberFormat="1" applyFont="1" applyFill="1"/>
    <xf numFmtId="169" fontId="0" fillId="2" borderId="0" xfId="0" applyNumberFormat="1" applyFill="1"/>
    <xf numFmtId="170" fontId="0" fillId="2" borderId="0" xfId="0" applyNumberFormat="1" applyFill="1"/>
    <xf numFmtId="169" fontId="16" fillId="5" borderId="0" xfId="0" applyNumberFormat="1" applyFont="1" applyFill="1"/>
    <xf numFmtId="166" fontId="0" fillId="0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69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3" fillId="2" borderId="0" xfId="0" applyFont="1" applyFill="1"/>
    <xf numFmtId="10" fontId="15" fillId="5" borderId="0" xfId="0" applyNumberFormat="1" applyFont="1" applyFill="1" applyBorder="1"/>
    <xf numFmtId="10" fontId="15" fillId="5" borderId="5" xfId="0" applyNumberFormat="1" applyFont="1" applyFill="1" applyBorder="1"/>
    <xf numFmtId="0" fontId="0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0" fontId="17" fillId="0" borderId="12" xfId="0" applyNumberFormat="1" applyFont="1" applyBorder="1"/>
    <xf numFmtId="43" fontId="0" fillId="0" borderId="0" xfId="1" applyFont="1" applyFill="1" applyBorder="1"/>
    <xf numFmtId="43" fontId="0" fillId="0" borderId="5" xfId="1" applyFont="1" applyFill="1" applyBorder="1"/>
    <xf numFmtId="43" fontId="0" fillId="0" borderId="0" xfId="1" applyFont="1" applyBorder="1"/>
    <xf numFmtId="43" fontId="0" fillId="0" borderId="7" xfId="1" applyFont="1" applyBorder="1" applyAlignment="1">
      <alignment vertical="top" wrapText="1"/>
    </xf>
    <xf numFmtId="43" fontId="15" fillId="5" borderId="0" xfId="1" applyFont="1" applyFill="1" applyBorder="1"/>
    <xf numFmtId="43" fontId="15" fillId="5" borderId="5" xfId="1" applyFont="1" applyFill="1" applyBorder="1"/>
    <xf numFmtId="43" fontId="15" fillId="5" borderId="7" xfId="1" applyFont="1" applyFill="1" applyBorder="1" applyAlignment="1">
      <alignment vertical="top" wrapText="1"/>
    </xf>
    <xf numFmtId="10" fontId="17" fillId="0" borderId="17" xfId="0" applyNumberFormat="1" applyFont="1" applyBorder="1"/>
    <xf numFmtId="0" fontId="0" fillId="0" borderId="5" xfId="0" applyBorder="1"/>
    <xf numFmtId="0" fontId="0" fillId="0" borderId="17" xfId="0" applyBorder="1"/>
    <xf numFmtId="43" fontId="0" fillId="5" borderId="0" xfId="1" applyFont="1" applyFill="1" applyBorder="1"/>
    <xf numFmtId="43" fontId="17" fillId="6" borderId="12" xfId="1" applyFont="1" applyFill="1" applyBorder="1"/>
    <xf numFmtId="43" fontId="17" fillId="6" borderId="17" xfId="1" applyFont="1" applyFill="1" applyBorder="1"/>
    <xf numFmtId="43" fontId="17" fillId="6" borderId="13" xfId="1" applyFont="1" applyFill="1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18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3" applyFont="1" applyFill="1" applyBorder="1" applyAlignment="1">
      <alignment wrapText="1"/>
    </xf>
    <xf numFmtId="0" fontId="0" fillId="0" borderId="4" xfId="3" applyFont="1" applyFill="1" applyBorder="1" applyAlignment="1">
      <alignment horizontal="left" wrapText="1"/>
    </xf>
    <xf numFmtId="0" fontId="15" fillId="5" borderId="4" xfId="3" applyFont="1" applyFill="1" applyBorder="1" applyAlignment="1">
      <alignment horizontal="left" wrapText="1"/>
    </xf>
    <xf numFmtId="0" fontId="17" fillId="0" borderId="16" xfId="0" applyFont="1" applyBorder="1" applyAlignment="1">
      <alignment horizontal="right" wrapText="1"/>
    </xf>
    <xf numFmtId="169" fontId="3" fillId="0" borderId="0" xfId="0" applyNumberFormat="1" applyFont="1" applyBorder="1"/>
    <xf numFmtId="0" fontId="20" fillId="0" borderId="0" xfId="0" applyFont="1"/>
    <xf numFmtId="0" fontId="19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3" zoomScaleNormal="93" zoomScalePageLayoutView="93" workbookViewId="0">
      <selection activeCell="A15" sqref="A15"/>
    </sheetView>
  </sheetViews>
  <sheetFormatPr defaultColWidth="8.77734375" defaultRowHeight="14.4" x14ac:dyDescent="0.3"/>
  <cols>
    <col min="1" max="1" width="23.44140625" style="34" customWidth="1"/>
    <col min="2" max="4" width="9.44140625" customWidth="1"/>
    <col min="5" max="5" width="9.77734375" customWidth="1"/>
    <col min="6" max="6" width="7.44140625" bestFit="1" customWidth="1"/>
    <col min="7" max="7" width="9.6640625" customWidth="1"/>
    <col min="8" max="8" width="9.109375" customWidth="1"/>
    <col min="9" max="11" width="8.44140625" customWidth="1"/>
    <col min="12" max="13" width="9.109375" customWidth="1"/>
    <col min="14" max="14" width="10.109375" bestFit="1" customWidth="1"/>
    <col min="15" max="15" width="9.6640625" customWidth="1"/>
    <col min="16" max="16" width="7.33203125" bestFit="1" customWidth="1"/>
    <col min="18" max="18" width="9.33203125" bestFit="1" customWidth="1"/>
    <col min="19" max="19" width="8.44140625" bestFit="1" customWidth="1"/>
  </cols>
  <sheetData>
    <row r="1" spans="1:19" ht="19.05" x14ac:dyDescent="0.25">
      <c r="A1" s="97" t="s">
        <v>138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6.05" thickBot="1" x14ac:dyDescent="0.25"/>
    <row r="3" spans="1:19" ht="16.05" thickBot="1" x14ac:dyDescent="0.25">
      <c r="A3" s="101" t="s">
        <v>58</v>
      </c>
      <c r="B3" s="102"/>
      <c r="C3" s="102"/>
      <c r="D3" s="103"/>
    </row>
    <row r="4" spans="1:19" ht="15" x14ac:dyDescent="0.2">
      <c r="A4" s="81"/>
      <c r="B4" s="29" t="s">
        <v>32</v>
      </c>
      <c r="C4" s="45" t="s">
        <v>33</v>
      </c>
      <c r="D4" s="44" t="s">
        <v>34</v>
      </c>
    </row>
    <row r="5" spans="1:19" ht="15" x14ac:dyDescent="0.2">
      <c r="A5" s="82"/>
      <c r="B5" s="17" t="s">
        <v>37</v>
      </c>
      <c r="C5" s="17" t="s">
        <v>37</v>
      </c>
      <c r="D5" s="18" t="s">
        <v>37</v>
      </c>
    </row>
    <row r="6" spans="1:19" ht="15" x14ac:dyDescent="0.2">
      <c r="A6" s="83" t="s">
        <v>13</v>
      </c>
      <c r="B6" s="46">
        <f>'SB2K-Inchcape-GU'!K2</f>
        <v>3.8300134711523062E-2</v>
      </c>
      <c r="C6" s="95">
        <f>'SB2K-NNG-GU'!K2</f>
        <v>1.3796964622460736E-2</v>
      </c>
      <c r="D6" s="47">
        <f>'SB2K-Seagreen-GU'!K2</f>
        <v>4.9913479465229456E-2</v>
      </c>
    </row>
    <row r="7" spans="1:19" ht="15" x14ac:dyDescent="0.2">
      <c r="A7" s="83" t="s">
        <v>11</v>
      </c>
      <c r="B7" s="46">
        <f>'SB2K-Inchcape-GU'!K3</f>
        <v>0.25003336285224548</v>
      </c>
      <c r="C7" s="46">
        <f>'SB2K-NNG-GU'!K3</f>
        <v>0.65111662378831625</v>
      </c>
      <c r="D7" s="47">
        <f>'SB2K-Seagreen-GU'!K3</f>
        <v>9.9831930321817058E-2</v>
      </c>
    </row>
    <row r="8" spans="1:19" ht="15" x14ac:dyDescent="0.2">
      <c r="A8" s="84" t="s">
        <v>10</v>
      </c>
      <c r="B8" s="46">
        <f>'SB2K-Inchcape-GU'!K4</f>
        <v>0.49197376140724891</v>
      </c>
      <c r="C8" s="46">
        <f>'SB2K-NNG-GU'!K4</f>
        <v>8.8345743934138979E-2</v>
      </c>
      <c r="D8" s="47">
        <f>'SB2K-Seagreen-GU'!K4</f>
        <v>0.67988701157559384</v>
      </c>
    </row>
    <row r="9" spans="1:19" ht="15" x14ac:dyDescent="0.2">
      <c r="A9" s="83" t="s">
        <v>12</v>
      </c>
      <c r="B9" s="46">
        <f>'SB2K-Inchcape-GU'!K5</f>
        <v>0.12680025683310864</v>
      </c>
      <c r="C9" s="46">
        <f>'SB2K-NNG-GU'!K5</f>
        <v>0.22747877848766182</v>
      </c>
      <c r="D9" s="47">
        <f>'SB2K-Seagreen-GU'!K5</f>
        <v>8.7495476208441086E-2</v>
      </c>
    </row>
    <row r="10" spans="1:19" ht="15" x14ac:dyDescent="0.2">
      <c r="A10" s="85" t="s">
        <v>38</v>
      </c>
      <c r="B10" s="19">
        <f>'SB2K-Inchcape-GU'!K6</f>
        <v>0.90710751580412596</v>
      </c>
      <c r="C10" s="19">
        <f>'SB2K-NNG-GU'!K6</f>
        <v>0.98073811083257778</v>
      </c>
      <c r="D10" s="20">
        <f>'SB2K-Seagreen-GU'!K6</f>
        <v>0.91712789757108149</v>
      </c>
      <c r="I10" s="5"/>
      <c r="J10" s="5"/>
      <c r="K10" s="5"/>
      <c r="L10" s="5"/>
      <c r="M10" s="5"/>
      <c r="N10" s="5"/>
    </row>
    <row r="11" spans="1:19" ht="15" x14ac:dyDescent="0.2">
      <c r="A11" s="86" t="s">
        <v>39</v>
      </c>
      <c r="B11" s="48">
        <f>'SB2K-Inchcape-GU'!K24</f>
        <v>9.2892484195873787E-2</v>
      </c>
      <c r="C11" s="48">
        <f>'SB2K-NNG-GU'!K24</f>
        <v>1.9261889167422056E-2</v>
      </c>
      <c r="D11" s="49">
        <f>'SB2K-Seagreen-GU'!K22</f>
        <v>8.2872102428918515E-2</v>
      </c>
      <c r="J11" s="5"/>
      <c r="K11" s="5"/>
      <c r="L11" s="5"/>
      <c r="M11" s="5"/>
      <c r="N11" s="5"/>
    </row>
    <row r="12" spans="1:19" ht="16.05" thickBot="1" x14ac:dyDescent="0.25">
      <c r="A12" s="87" t="s">
        <v>40</v>
      </c>
      <c r="B12" s="21">
        <f>B11+B10</f>
        <v>0.99999999999999978</v>
      </c>
      <c r="C12" s="21">
        <f>C11+C10</f>
        <v>0.99999999999999989</v>
      </c>
      <c r="D12" s="22">
        <f>D11+D10</f>
        <v>1</v>
      </c>
    </row>
    <row r="13" spans="1:19" ht="6" customHeight="1" thickBot="1" x14ac:dyDescent="0.25"/>
    <row r="14" spans="1:19" ht="15" x14ac:dyDescent="0.2">
      <c r="A14" s="98" t="s">
        <v>139</v>
      </c>
      <c r="B14" s="99"/>
      <c r="C14" s="99"/>
      <c r="D14" s="99"/>
      <c r="E14" s="99"/>
      <c r="F14" s="99"/>
      <c r="G14" s="100"/>
      <c r="H14" s="5"/>
      <c r="O14" s="5"/>
      <c r="P14" s="5"/>
      <c r="Q14" s="5"/>
    </row>
    <row r="15" spans="1:19" ht="30" x14ac:dyDescent="0.2">
      <c r="A15" s="64"/>
      <c r="B15" s="23" t="s">
        <v>32</v>
      </c>
      <c r="C15" s="23" t="s">
        <v>33</v>
      </c>
      <c r="D15" s="30" t="s">
        <v>63</v>
      </c>
      <c r="E15" s="31" t="s">
        <v>64</v>
      </c>
      <c r="F15" s="106" t="s">
        <v>41</v>
      </c>
      <c r="G15" s="107"/>
      <c r="H15" s="5"/>
      <c r="O15" s="5"/>
      <c r="P15" s="5"/>
      <c r="Q15" s="5"/>
    </row>
    <row r="16" spans="1:19" ht="30" x14ac:dyDescent="0.2">
      <c r="A16" s="88" t="s">
        <v>42</v>
      </c>
      <c r="B16" s="19">
        <v>33</v>
      </c>
      <c r="C16" s="19">
        <v>15</v>
      </c>
      <c r="D16" s="19">
        <v>42</v>
      </c>
      <c r="E16" s="75">
        <v>32</v>
      </c>
      <c r="F16" s="108"/>
      <c r="G16" s="109"/>
      <c r="H16" s="5"/>
      <c r="J16" s="5"/>
      <c r="K16" s="5"/>
      <c r="L16" s="5"/>
      <c r="M16" s="5"/>
      <c r="N16" s="5"/>
      <c r="O16" s="5"/>
      <c r="P16" s="5"/>
      <c r="Q16" s="5"/>
    </row>
    <row r="17" spans="1:19" ht="30" x14ac:dyDescent="0.2">
      <c r="A17" s="88" t="s">
        <v>43</v>
      </c>
      <c r="B17" s="19"/>
      <c r="C17" s="19"/>
      <c r="D17" s="19"/>
      <c r="E17" s="75"/>
      <c r="F17" s="108"/>
      <c r="G17" s="109"/>
      <c r="H17" s="5"/>
      <c r="J17" s="5"/>
      <c r="K17" s="16"/>
      <c r="L17" s="5"/>
      <c r="M17" s="5"/>
      <c r="N17" s="5"/>
      <c r="O17" s="5"/>
      <c r="P17" s="5"/>
      <c r="Q17" s="5"/>
    </row>
    <row r="18" spans="1:19" ht="31.05" thickBot="1" x14ac:dyDescent="0.25">
      <c r="A18" s="87" t="s">
        <v>44</v>
      </c>
      <c r="B18" s="21"/>
      <c r="C18" s="21"/>
      <c r="D18" s="21"/>
      <c r="E18" s="76"/>
      <c r="F18" s="104"/>
      <c r="G18" s="105"/>
      <c r="H18" s="5"/>
      <c r="J18" s="5"/>
      <c r="K18" s="24"/>
      <c r="L18" s="5"/>
      <c r="M18" s="5"/>
      <c r="N18" s="5"/>
      <c r="O18" s="5"/>
      <c r="P18" s="5"/>
      <c r="Q18" s="5"/>
    </row>
    <row r="19" spans="1:19" ht="6" customHeight="1" thickBot="1" x14ac:dyDescent="0.25">
      <c r="A19" s="89"/>
      <c r="B19" s="25"/>
      <c r="C19" s="25"/>
      <c r="D19" s="25"/>
      <c r="E19" s="25"/>
      <c r="F19" s="26"/>
      <c r="G19" s="5"/>
      <c r="H19" s="5"/>
      <c r="I19" s="5"/>
      <c r="J19" s="24"/>
      <c r="K19" s="5"/>
      <c r="L19" s="5"/>
      <c r="M19" s="5"/>
      <c r="N19" s="5"/>
      <c r="O19" s="5"/>
      <c r="P19" s="5"/>
    </row>
    <row r="20" spans="1:19" ht="15" x14ac:dyDescent="0.2">
      <c r="A20" s="116" t="s">
        <v>59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</row>
    <row r="21" spans="1:19" ht="15" x14ac:dyDescent="0.2">
      <c r="A21" s="90"/>
      <c r="B21" s="19"/>
      <c r="C21" s="19"/>
      <c r="D21" s="19"/>
      <c r="E21" s="110" t="s">
        <v>66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</row>
    <row r="22" spans="1:19" ht="15" x14ac:dyDescent="0.2">
      <c r="A22" s="90"/>
      <c r="B22" s="111" t="s">
        <v>45</v>
      </c>
      <c r="C22" s="111"/>
      <c r="D22" s="119"/>
      <c r="E22" s="113" t="s">
        <v>46</v>
      </c>
      <c r="F22" s="114"/>
      <c r="G22" s="114"/>
      <c r="H22" s="114"/>
      <c r="I22" s="115"/>
      <c r="J22" s="113" t="s">
        <v>47</v>
      </c>
      <c r="K22" s="114"/>
      <c r="L22" s="114"/>
      <c r="M22" s="114"/>
      <c r="N22" s="115"/>
      <c r="O22" s="110" t="s">
        <v>48</v>
      </c>
      <c r="P22" s="111"/>
      <c r="Q22" s="111"/>
      <c r="R22" s="111"/>
      <c r="S22" s="112"/>
    </row>
    <row r="23" spans="1:19" s="34" customFormat="1" ht="30" x14ac:dyDescent="0.2">
      <c r="A23" s="64"/>
      <c r="B23" s="30" t="s">
        <v>49</v>
      </c>
      <c r="C23" s="30" t="s">
        <v>33</v>
      </c>
      <c r="D23" s="31" t="s">
        <v>34</v>
      </c>
      <c r="E23" s="32" t="s">
        <v>49</v>
      </c>
      <c r="F23" s="32" t="s">
        <v>33</v>
      </c>
      <c r="G23" s="32" t="s">
        <v>63</v>
      </c>
      <c r="H23" s="32" t="s">
        <v>64</v>
      </c>
      <c r="I23" s="33" t="s">
        <v>50</v>
      </c>
      <c r="J23" s="32" t="s">
        <v>49</v>
      </c>
      <c r="K23" s="32" t="s">
        <v>33</v>
      </c>
      <c r="L23" s="32" t="s">
        <v>63</v>
      </c>
      <c r="M23" s="32" t="s">
        <v>64</v>
      </c>
      <c r="N23" s="33" t="s">
        <v>50</v>
      </c>
      <c r="O23" s="30" t="s">
        <v>49</v>
      </c>
      <c r="P23" s="32" t="s">
        <v>33</v>
      </c>
      <c r="Q23" s="32" t="s">
        <v>63</v>
      </c>
      <c r="R23" s="32" t="s">
        <v>64</v>
      </c>
      <c r="S23" s="65" t="s">
        <v>50</v>
      </c>
    </row>
    <row r="24" spans="1:19" ht="30" x14ac:dyDescent="0.2">
      <c r="A24" s="91" t="s">
        <v>51</v>
      </c>
      <c r="B24" s="28">
        <f t="shared" ref="B24:D26" si="0">B6</f>
        <v>3.8300134711523062E-2</v>
      </c>
      <c r="C24" s="28">
        <f t="shared" si="0"/>
        <v>1.3796964622460736E-2</v>
      </c>
      <c r="D24" s="27">
        <f t="shared" si="0"/>
        <v>4.9913479465229456E-2</v>
      </c>
      <c r="E24" s="67">
        <f>$B$16/1*B24</f>
        <v>1.263904445480261</v>
      </c>
      <c r="F24" s="67">
        <f>$C$16/1*C24</f>
        <v>0.20695446933691103</v>
      </c>
      <c r="G24" s="67">
        <f>$D$16/1*D24</f>
        <v>2.0963661375396372</v>
      </c>
      <c r="H24" s="67">
        <f>$E$16/1*D24</f>
        <v>1.5972313428873426</v>
      </c>
      <c r="I24" s="68">
        <v>2.047719239619862</v>
      </c>
      <c r="J24" s="67">
        <f t="shared" ref="J24:K28" si="1">B$17/1*B24</f>
        <v>0</v>
      </c>
      <c r="K24" s="67">
        <f t="shared" si="1"/>
        <v>0</v>
      </c>
      <c r="L24" s="67">
        <f>$D$17/1*D24</f>
        <v>0</v>
      </c>
      <c r="M24" s="67">
        <f>E$17/1*D24</f>
        <v>0</v>
      </c>
      <c r="N24" s="68"/>
      <c r="O24" s="69">
        <f>$B$18/1*B24</f>
        <v>0</v>
      </c>
      <c r="P24" s="67">
        <f>$C$18/1*C24</f>
        <v>0</v>
      </c>
      <c r="Q24" s="67">
        <f>$D$18/1*D24</f>
        <v>0</v>
      </c>
      <c r="R24" s="69">
        <f>$E$18/1*D24</f>
        <v>0</v>
      </c>
      <c r="S24" s="70"/>
    </row>
    <row r="25" spans="1:19" ht="15" x14ac:dyDescent="0.2">
      <c r="A25" s="92" t="s">
        <v>53</v>
      </c>
      <c r="B25" s="28">
        <f t="shared" si="0"/>
        <v>0.25003336285224548</v>
      </c>
      <c r="C25" s="28">
        <f t="shared" si="0"/>
        <v>0.65111662378831625</v>
      </c>
      <c r="D25" s="27">
        <f t="shared" si="0"/>
        <v>9.9831930321817058E-2</v>
      </c>
      <c r="E25" s="67">
        <f>$B$16/1*B25</f>
        <v>8.2511009741241015</v>
      </c>
      <c r="F25" s="67">
        <f>$C$16/1*C25</f>
        <v>9.766749356824743</v>
      </c>
      <c r="G25" s="67">
        <f t="shared" ref="G25:G28" si="2">$D$16/1*D25</f>
        <v>4.1929410735163168</v>
      </c>
      <c r="H25" s="67">
        <f>$E$16/1*D25</f>
        <v>3.1946217702981459</v>
      </c>
      <c r="I25" s="68">
        <v>17.407680559565929</v>
      </c>
      <c r="J25" s="67">
        <f t="shared" si="1"/>
        <v>0</v>
      </c>
      <c r="K25" s="67">
        <f t="shared" si="1"/>
        <v>0</v>
      </c>
      <c r="L25" s="67">
        <f t="shared" ref="L25:L28" si="3">$D$17/1*D25</f>
        <v>0</v>
      </c>
      <c r="M25" s="67">
        <f>E$17/1*D25</f>
        <v>0</v>
      </c>
      <c r="N25" s="68"/>
      <c r="O25" s="69">
        <f>$B$18/1*B25</f>
        <v>0</v>
      </c>
      <c r="P25" s="67">
        <f>$C$18/1*C25</f>
        <v>0</v>
      </c>
      <c r="Q25" s="67">
        <f t="shared" ref="Q25:Q28" si="4">$D$18/1*D25</f>
        <v>0</v>
      </c>
      <c r="R25" s="69">
        <f>$E$18/1*D25</f>
        <v>0</v>
      </c>
      <c r="S25" s="70"/>
    </row>
    <row r="26" spans="1:19" ht="15" x14ac:dyDescent="0.2">
      <c r="A26" s="91" t="s">
        <v>52</v>
      </c>
      <c r="B26" s="28">
        <f t="shared" si="0"/>
        <v>0.49197376140724891</v>
      </c>
      <c r="C26" s="28">
        <f t="shared" si="0"/>
        <v>8.8345743934138979E-2</v>
      </c>
      <c r="D26" s="27">
        <f t="shared" si="0"/>
        <v>0.67988701157559384</v>
      </c>
      <c r="E26" s="67">
        <f>$B$16/1*B26</f>
        <v>16.235134126439213</v>
      </c>
      <c r="F26" s="67">
        <f>$C$16/1*C26</f>
        <v>1.3251861590120846</v>
      </c>
      <c r="G26" s="67">
        <f t="shared" si="2"/>
        <v>28.555254486174942</v>
      </c>
      <c r="H26" s="67">
        <f>$E$16/1*D26</f>
        <v>21.756384370419003</v>
      </c>
      <c r="I26" s="68">
        <v>12.660747883502284</v>
      </c>
      <c r="J26" s="67">
        <f t="shared" si="1"/>
        <v>0</v>
      </c>
      <c r="K26" s="67">
        <f t="shared" si="1"/>
        <v>0</v>
      </c>
      <c r="L26" s="67">
        <f t="shared" si="3"/>
        <v>0</v>
      </c>
      <c r="M26" s="67">
        <f>E$17/1*D26</f>
        <v>0</v>
      </c>
      <c r="N26" s="68"/>
      <c r="O26" s="69">
        <f>$B$18/1*B26</f>
        <v>0</v>
      </c>
      <c r="P26" s="67">
        <f>$C$18/1*C26</f>
        <v>0</v>
      </c>
      <c r="Q26" s="67">
        <f t="shared" si="4"/>
        <v>0</v>
      </c>
      <c r="R26" s="69">
        <f>$E$18/1*D26</f>
        <v>0</v>
      </c>
      <c r="S26" s="70"/>
    </row>
    <row r="27" spans="1:19" ht="28.8" x14ac:dyDescent="0.3">
      <c r="A27" s="92" t="s">
        <v>54</v>
      </c>
      <c r="B27" s="28">
        <f>B9</f>
        <v>0.12680025683310864</v>
      </c>
      <c r="C27" s="28">
        <f>C9</f>
        <v>0.22747877848766182</v>
      </c>
      <c r="D27" s="27">
        <f t="shared" ref="D27" si="5">D9</f>
        <v>8.7495476208441086E-2</v>
      </c>
      <c r="E27" s="67">
        <f>$B$16/1*B27</f>
        <v>4.1844084754925852</v>
      </c>
      <c r="F27" s="67">
        <f>$C$16/1*C27</f>
        <v>3.4121816773149272</v>
      </c>
      <c r="G27" s="67">
        <f t="shared" si="2"/>
        <v>3.6748100007545257</v>
      </c>
      <c r="H27" s="67">
        <f>$E$16/1*D27</f>
        <v>2.7998552386701148</v>
      </c>
      <c r="I27" s="68">
        <v>15.016681261954615</v>
      </c>
      <c r="J27" s="67">
        <f t="shared" si="1"/>
        <v>0</v>
      </c>
      <c r="K27" s="67">
        <f t="shared" si="1"/>
        <v>0</v>
      </c>
      <c r="L27" s="67">
        <f t="shared" si="3"/>
        <v>0</v>
      </c>
      <c r="M27" s="67">
        <f>E$17/1*D27</f>
        <v>0</v>
      </c>
      <c r="N27" s="68"/>
      <c r="O27" s="69">
        <f>$B$18/1*B27</f>
        <v>0</v>
      </c>
      <c r="P27" s="67">
        <f>$C$18/1*C27</f>
        <v>0</v>
      </c>
      <c r="Q27" s="67">
        <f>$D$18/1*D27</f>
        <v>0</v>
      </c>
      <c r="R27" s="69">
        <f>$E$18/1*D27</f>
        <v>0</v>
      </c>
      <c r="S27" s="70"/>
    </row>
    <row r="28" spans="1:19" ht="15" x14ac:dyDescent="0.2">
      <c r="A28" s="93" t="s">
        <v>55</v>
      </c>
      <c r="B28" s="62">
        <f>B11</f>
        <v>9.2892484195873787E-2</v>
      </c>
      <c r="C28" s="62">
        <f t="shared" ref="C28:D28" si="6">C11</f>
        <v>1.9261889167422056E-2</v>
      </c>
      <c r="D28" s="63">
        <f t="shared" si="6"/>
        <v>8.2872102428918515E-2</v>
      </c>
      <c r="E28" s="71">
        <f>$B$16/1*B28</f>
        <v>3.0654519784638348</v>
      </c>
      <c r="F28" s="71">
        <f>$C$16/1*C28</f>
        <v>0.28892833751133085</v>
      </c>
      <c r="G28" s="77">
        <f t="shared" si="2"/>
        <v>3.4806283020145776</v>
      </c>
      <c r="H28" s="71">
        <f>$E$16/1*D28</f>
        <v>2.6519072777253925</v>
      </c>
      <c r="I28" s="72">
        <v>18.477517342154648</v>
      </c>
      <c r="J28" s="71">
        <f t="shared" si="1"/>
        <v>0</v>
      </c>
      <c r="K28" s="71">
        <f t="shared" si="1"/>
        <v>0</v>
      </c>
      <c r="L28" s="77">
        <f t="shared" si="3"/>
        <v>0</v>
      </c>
      <c r="M28" s="71">
        <f>E$17/1*D28</f>
        <v>0</v>
      </c>
      <c r="N28" s="72"/>
      <c r="O28" s="71">
        <f>$B$18/1*B28</f>
        <v>0</v>
      </c>
      <c r="P28" s="71">
        <f>$C$18/1*C28</f>
        <v>0</v>
      </c>
      <c r="Q28" s="77">
        <f t="shared" si="4"/>
        <v>0</v>
      </c>
      <c r="R28" s="71">
        <f>$E$18/1*D28</f>
        <v>0</v>
      </c>
      <c r="S28" s="73"/>
    </row>
    <row r="29" spans="1:19" ht="16.05" thickBot="1" x14ac:dyDescent="0.25">
      <c r="A29" s="94" t="s">
        <v>65</v>
      </c>
      <c r="B29" s="66">
        <f t="shared" ref="B29:R29" si="7">SUM(B24:B28)</f>
        <v>0.99999999999999978</v>
      </c>
      <c r="C29" s="66">
        <f t="shared" si="7"/>
        <v>0.99999999999999989</v>
      </c>
      <c r="D29" s="74">
        <f t="shared" si="7"/>
        <v>1</v>
      </c>
      <c r="E29" s="78">
        <f t="shared" si="7"/>
        <v>33</v>
      </c>
      <c r="F29" s="78">
        <f t="shared" si="7"/>
        <v>14.999999999999995</v>
      </c>
      <c r="G29" s="78">
        <f t="shared" si="7"/>
        <v>42</v>
      </c>
      <c r="H29" s="78">
        <f t="shared" si="7"/>
        <v>32</v>
      </c>
      <c r="I29" s="79">
        <v>65.610346286797338</v>
      </c>
      <c r="J29" s="78">
        <f t="shared" si="7"/>
        <v>0</v>
      </c>
      <c r="K29" s="78">
        <f t="shared" si="7"/>
        <v>0</v>
      </c>
      <c r="L29" s="78">
        <f t="shared" si="7"/>
        <v>0</v>
      </c>
      <c r="M29" s="78">
        <f t="shared" si="7"/>
        <v>0</v>
      </c>
      <c r="N29" s="79"/>
      <c r="O29" s="78">
        <f t="shared" si="7"/>
        <v>0</v>
      </c>
      <c r="P29" s="78">
        <f t="shared" si="7"/>
        <v>0</v>
      </c>
      <c r="Q29" s="78">
        <f t="shared" si="7"/>
        <v>0</v>
      </c>
      <c r="R29" s="78">
        <f t="shared" si="7"/>
        <v>0</v>
      </c>
      <c r="S29" s="80"/>
    </row>
  </sheetData>
  <mergeCells count="13">
    <mergeCell ref="O22:S22"/>
    <mergeCell ref="J22:N22"/>
    <mergeCell ref="E22:I22"/>
    <mergeCell ref="E21:S21"/>
    <mergeCell ref="A20:S20"/>
    <mergeCell ref="B22:D22"/>
    <mergeCell ref="A1:S1"/>
    <mergeCell ref="A14:G14"/>
    <mergeCell ref="A3:D3"/>
    <mergeCell ref="F18:G18"/>
    <mergeCell ref="F15:G15"/>
    <mergeCell ref="F16:G16"/>
    <mergeCell ref="F17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pane ySplit="1" topLeftCell="A6" activePane="bottomLeft" state="frozen"/>
      <selection pane="bottomLeft" activeCell="D32" sqref="D32"/>
    </sheetView>
  </sheetViews>
  <sheetFormatPr defaultColWidth="8.777343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4" max="4" width="10.44140625" bestFit="1" customWidth="1"/>
  </cols>
  <sheetData>
    <row r="1" spans="1:11" ht="45" x14ac:dyDescent="0.2">
      <c r="A1" s="1" t="s">
        <v>67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56</v>
      </c>
      <c r="J1" s="1" t="s">
        <v>8</v>
      </c>
      <c r="K1" s="2" t="s">
        <v>9</v>
      </c>
    </row>
    <row r="2" spans="1:11" ht="15" x14ac:dyDescent="0.2">
      <c r="A2" s="3" t="s">
        <v>13</v>
      </c>
      <c r="B2" s="7">
        <v>29389</v>
      </c>
      <c r="C2">
        <v>96.02</v>
      </c>
      <c r="D2" s="35">
        <f>C2*C2</f>
        <v>9219.8403999999991</v>
      </c>
      <c r="E2">
        <v>0.71899999999999997</v>
      </c>
      <c r="F2">
        <f>B2/$B$25</f>
        <v>0.16141150624742551</v>
      </c>
      <c r="G2" s="8">
        <f>$D$25/D2</f>
        <v>7.5563220378521967</v>
      </c>
      <c r="H2">
        <f>E2/$E$25</f>
        <v>6.958962446767325E-2</v>
      </c>
      <c r="I2">
        <v>2001</v>
      </c>
      <c r="J2" s="8">
        <f>F2*G2*H2</f>
        <v>8.4876886797214834E-2</v>
      </c>
      <c r="K2" s="4">
        <f>J2/$J$25</f>
        <v>3.8300134711523062E-2</v>
      </c>
    </row>
    <row r="3" spans="1:11" ht="15" x14ac:dyDescent="0.2">
      <c r="A3" s="3" t="s">
        <v>11</v>
      </c>
      <c r="B3" s="7">
        <v>36369</v>
      </c>
      <c r="C3">
        <v>33.22</v>
      </c>
      <c r="D3" s="35">
        <f>C3*C3</f>
        <v>1103.5683999999999</v>
      </c>
      <c r="E3">
        <v>0.45400000000000001</v>
      </c>
      <c r="F3">
        <f>B3/$B$25</f>
        <v>0.19974735685843745</v>
      </c>
      <c r="G3">
        <f>$D$25/D3</f>
        <v>63.12982792910708</v>
      </c>
      <c r="H3">
        <f>E3/$E$25</f>
        <v>4.3941153697251267E-2</v>
      </c>
      <c r="I3">
        <v>2001</v>
      </c>
      <c r="J3">
        <f>F3*G3*H3</f>
        <v>0.554098662946793</v>
      </c>
      <c r="K3" s="4">
        <f>J3/$J$25</f>
        <v>0.25003336285224548</v>
      </c>
    </row>
    <row r="4" spans="1:11" ht="15" x14ac:dyDescent="0.2">
      <c r="A4" s="3" t="s">
        <v>10</v>
      </c>
      <c r="B4" s="7">
        <v>62330</v>
      </c>
      <c r="C4">
        <v>34</v>
      </c>
      <c r="D4" s="35">
        <f>C4*C4</f>
        <v>1156</v>
      </c>
      <c r="E4">
        <v>0.54600000000000004</v>
      </c>
      <c r="F4">
        <f>B4/$B$25</f>
        <v>0.34233145681724564</v>
      </c>
      <c r="G4">
        <f>$D$25/D4</f>
        <v>60.266507958477519</v>
      </c>
      <c r="H4">
        <f>E4/$E$25</f>
        <v>5.2845528455284563E-2</v>
      </c>
      <c r="I4">
        <v>2000</v>
      </c>
      <c r="J4">
        <f>F4*G4*H4</f>
        <v>1.090262516533653</v>
      </c>
      <c r="K4" s="4">
        <f>J4/$J$25</f>
        <v>0.49197376140724891</v>
      </c>
    </row>
    <row r="5" spans="1:11" ht="15" x14ac:dyDescent="0.2">
      <c r="A5" s="3" t="s">
        <v>12</v>
      </c>
      <c r="B5" s="7">
        <v>43744</v>
      </c>
      <c r="C5">
        <v>56.31</v>
      </c>
      <c r="D5" s="35">
        <f>C5*C5</f>
        <v>3170.8161000000005</v>
      </c>
      <c r="E5">
        <v>0.55000000000000004</v>
      </c>
      <c r="F5">
        <f>B5/$B$25</f>
        <v>0.24025264314156256</v>
      </c>
      <c r="G5">
        <f>$D$25/D5</f>
        <v>21.971656823617113</v>
      </c>
      <c r="H5">
        <f>E5/$E$25</f>
        <v>5.3232675183894705E-2</v>
      </c>
      <c r="I5">
        <v>2000</v>
      </c>
      <c r="J5">
        <f>F5*G5*H5</f>
        <v>0.28100191098919364</v>
      </c>
      <c r="K5" s="4">
        <f>J5/$J$25</f>
        <v>0.12680025683310864</v>
      </c>
    </row>
    <row r="6" spans="1:11" ht="15" x14ac:dyDescent="0.2">
      <c r="A6" s="36" t="s">
        <v>35</v>
      </c>
      <c r="B6" s="37">
        <f>SUM(B2:B5)</f>
        <v>171832</v>
      </c>
      <c r="C6" s="36"/>
      <c r="D6" s="38"/>
      <c r="E6" s="36"/>
      <c r="F6" s="36"/>
      <c r="G6" s="36"/>
      <c r="H6" s="36"/>
      <c r="I6" s="36"/>
      <c r="J6" s="36"/>
      <c r="K6" s="36">
        <f>SUM(K2:K5)</f>
        <v>0.90710751580412596</v>
      </c>
    </row>
    <row r="7" spans="1:11" ht="15" x14ac:dyDescent="0.2">
      <c r="A7" s="5" t="s">
        <v>14</v>
      </c>
      <c r="B7" s="7">
        <v>45</v>
      </c>
      <c r="C7">
        <v>70.56</v>
      </c>
      <c r="D7" s="35">
        <f t="shared" ref="D7:D23" si="0">C7*C7</f>
        <v>4978.7136</v>
      </c>
      <c r="E7">
        <v>0.56499999999999995</v>
      </c>
      <c r="F7">
        <f>B7/$B$25</f>
        <v>2.4715089935466156E-4</v>
      </c>
      <c r="G7">
        <f>$D$25/D7</f>
        <v>13.993189566075865</v>
      </c>
      <c r="H7">
        <f>E7/$E$25</f>
        <v>5.468447541618273E-2</v>
      </c>
      <c r="I7">
        <v>2000</v>
      </c>
      <c r="J7">
        <f t="shared" ref="J7:J23" si="1">F7*G7*H7</f>
        <v>1.8912239674256608E-4</v>
      </c>
      <c r="K7" s="59">
        <f>J7/$J$25</f>
        <v>8.5340232724512194E-5</v>
      </c>
    </row>
    <row r="8" spans="1:11" ht="15" x14ac:dyDescent="0.2">
      <c r="A8" s="5" t="s">
        <v>15</v>
      </c>
      <c r="B8" s="7">
        <v>37</v>
      </c>
      <c r="C8">
        <v>49.14</v>
      </c>
      <c r="D8" s="35">
        <f t="shared" si="0"/>
        <v>2414.7395999999999</v>
      </c>
      <c r="E8">
        <v>0.55400000000000005</v>
      </c>
      <c r="F8">
        <f>B8/$B$25</f>
        <v>2.032129616916106E-4</v>
      </c>
      <c r="G8">
        <f>$D$25/D8</f>
        <v>28.85117848732013</v>
      </c>
      <c r="H8">
        <f>E8/$E$25</f>
        <v>5.3619821912504848E-2</v>
      </c>
      <c r="I8">
        <v>1999</v>
      </c>
      <c r="J8">
        <f t="shared" si="1"/>
        <v>3.1436944633185152E-4</v>
      </c>
      <c r="K8" s="59">
        <f>J8/$J$25</f>
        <v>1.4185713682528619E-4</v>
      </c>
    </row>
    <row r="9" spans="1:11" ht="15" x14ac:dyDescent="0.2">
      <c r="A9" s="5" t="s">
        <v>16</v>
      </c>
      <c r="B9" s="7">
        <v>2884</v>
      </c>
      <c r="C9">
        <v>30.36</v>
      </c>
      <c r="D9" s="35">
        <f t="shared" si="0"/>
        <v>921.7296</v>
      </c>
      <c r="E9">
        <v>0.52900000000000003</v>
      </c>
      <c r="F9">
        <f>B9/$B$25</f>
        <v>1.5839626527529863E-2</v>
      </c>
      <c r="G9">
        <f>$D$25/D9</f>
        <v>75.584079322178667</v>
      </c>
      <c r="H9">
        <f>E9/$E$25</f>
        <v>5.1200154858691449E-2</v>
      </c>
      <c r="I9">
        <v>1999</v>
      </c>
      <c r="J9">
        <f t="shared" si="1"/>
        <v>6.1298033100471931E-2</v>
      </c>
      <c r="K9" s="59">
        <f>J9/$J$25</f>
        <v>2.7660332675827043E-2</v>
      </c>
    </row>
    <row r="10" spans="1:11" ht="15" x14ac:dyDescent="0.2">
      <c r="A10" s="5" t="s">
        <v>17</v>
      </c>
      <c r="B10" s="51"/>
      <c r="C10">
        <v>49.91</v>
      </c>
      <c r="D10" s="35">
        <f t="shared" si="0"/>
        <v>2491.0080999999996</v>
      </c>
      <c r="E10">
        <v>0.42599999999999999</v>
      </c>
      <c r="F10">
        <f>B10/$B$25</f>
        <v>0</v>
      </c>
      <c r="G10">
        <f>$D$25/D10</f>
        <v>27.96782684086817</v>
      </c>
      <c r="H10">
        <f>E10/$E$25</f>
        <v>4.1231126596980257E-2</v>
      </c>
      <c r="I10">
        <v>2000</v>
      </c>
      <c r="J10">
        <f t="shared" si="1"/>
        <v>0</v>
      </c>
      <c r="K10" s="59">
        <f>J10/$J$25</f>
        <v>0</v>
      </c>
    </row>
    <row r="11" spans="1:11" ht="15" x14ac:dyDescent="0.2">
      <c r="A11" s="5" t="s">
        <v>18</v>
      </c>
      <c r="B11" s="7">
        <v>892</v>
      </c>
      <c r="C11">
        <v>62.84</v>
      </c>
      <c r="D11" s="35">
        <f t="shared" si="0"/>
        <v>3948.8656000000005</v>
      </c>
      <c r="E11">
        <v>0.56799999999999995</v>
      </c>
      <c r="F11">
        <f>B11/$B$25</f>
        <v>4.8990800494301797E-3</v>
      </c>
      <c r="G11">
        <f>$D$25/D11</f>
        <v>17.642556181197961</v>
      </c>
      <c r="H11">
        <f>E11/$E$25</f>
        <v>5.4974835462640342E-2</v>
      </c>
      <c r="I11">
        <v>2000</v>
      </c>
      <c r="J11">
        <f t="shared" si="1"/>
        <v>4.7516011967373749E-3</v>
      </c>
      <c r="K11" s="59">
        <f>J11/$J$25</f>
        <v>2.1441286644416297E-3</v>
      </c>
    </row>
    <row r="12" spans="1:11" ht="15" x14ac:dyDescent="0.2">
      <c r="A12" s="5" t="s">
        <v>30</v>
      </c>
      <c r="B12" s="7"/>
      <c r="D12" s="35"/>
      <c r="K12" s="59"/>
    </row>
    <row r="13" spans="1:11" ht="15" x14ac:dyDescent="0.2">
      <c r="A13" s="5" t="s">
        <v>19</v>
      </c>
      <c r="B13" s="7">
        <v>422</v>
      </c>
      <c r="C13">
        <v>53.41</v>
      </c>
      <c r="D13" s="35">
        <f t="shared" si="0"/>
        <v>2852.6280999999994</v>
      </c>
      <c r="E13">
        <v>0.56999999999999995</v>
      </c>
      <c r="F13">
        <f t="shared" ref="F13:F23" si="2">B13/$B$25</f>
        <v>2.3177262117259371E-3</v>
      </c>
      <c r="G13">
        <f t="shared" ref="G13:G23" si="3">$D$25/D13</f>
        <v>24.422420574206647</v>
      </c>
      <c r="H13">
        <f t="shared" ref="H13:H23" si="4">E13/$E$25</f>
        <v>5.516840882694541E-2</v>
      </c>
      <c r="I13">
        <v>1999</v>
      </c>
      <c r="J13">
        <f t="shared" si="1"/>
        <v>3.1227793323287969E-3</v>
      </c>
      <c r="K13" s="59">
        <f t="shared" ref="K13:K23" si="5">J13/$J$25</f>
        <v>1.4091335534997217E-3</v>
      </c>
    </row>
    <row r="14" spans="1:11" ht="15" x14ac:dyDescent="0.2">
      <c r="A14" s="5" t="s">
        <v>20</v>
      </c>
      <c r="B14" s="7">
        <v>75</v>
      </c>
      <c r="C14">
        <v>57.85</v>
      </c>
      <c r="D14" s="35">
        <f t="shared" si="0"/>
        <v>3346.6224999999999</v>
      </c>
      <c r="E14">
        <v>0.58199999999999996</v>
      </c>
      <c r="F14">
        <f t="shared" si="2"/>
        <v>4.1191816559110257E-4</v>
      </c>
      <c r="G14">
        <f t="shared" si="3"/>
        <v>20.817431066694859</v>
      </c>
      <c r="H14">
        <f t="shared" si="4"/>
        <v>5.6329849012775844E-2</v>
      </c>
      <c r="I14">
        <v>1999</v>
      </c>
      <c r="J14">
        <f t="shared" si="1"/>
        <v>4.8303284998796813E-4</v>
      </c>
      <c r="K14" s="59">
        <f t="shared" si="5"/>
        <v>2.1796538401355642E-4</v>
      </c>
    </row>
    <row r="15" spans="1:11" ht="15" x14ac:dyDescent="0.2">
      <c r="A15" s="5" t="s">
        <v>137</v>
      </c>
      <c r="B15" s="7">
        <v>14</v>
      </c>
      <c r="C15">
        <v>113.51</v>
      </c>
      <c r="D15" s="35">
        <f t="shared" si="0"/>
        <v>12884.520100000002</v>
      </c>
      <c r="E15">
        <v>0.71</v>
      </c>
      <c r="F15">
        <f t="shared" si="2"/>
        <v>7.6891390910339153E-5</v>
      </c>
      <c r="G15">
        <f t="shared" si="3"/>
        <v>5.4071151008565694</v>
      </c>
      <c r="H15">
        <f t="shared" si="4"/>
        <v>6.8718544328300435E-2</v>
      </c>
      <c r="I15">
        <v>2002</v>
      </c>
      <c r="J15">
        <f t="shared" si="1"/>
        <v>2.8570463284086711E-5</v>
      </c>
      <c r="K15" s="59">
        <f t="shared" si="5"/>
        <v>1.2892232901584835E-5</v>
      </c>
    </row>
    <row r="16" spans="1:11" ht="15" x14ac:dyDescent="0.2">
      <c r="A16" s="5" t="s">
        <v>21</v>
      </c>
      <c r="B16" s="7"/>
      <c r="C16">
        <v>79.540000000000006</v>
      </c>
      <c r="D16" s="35">
        <f t="shared" si="0"/>
        <v>6326.6116000000011</v>
      </c>
      <c r="E16">
        <v>0.16800000000000001</v>
      </c>
      <c r="F16">
        <f t="shared" si="2"/>
        <v>0</v>
      </c>
      <c r="G16">
        <f t="shared" si="3"/>
        <v>11.0119108939768</v>
      </c>
      <c r="H16">
        <f t="shared" si="4"/>
        <v>1.6260162601626018E-2</v>
      </c>
      <c r="I16">
        <v>1999</v>
      </c>
      <c r="J16">
        <f t="shared" si="1"/>
        <v>0</v>
      </c>
      <c r="K16" s="59">
        <f t="shared" si="5"/>
        <v>0</v>
      </c>
    </row>
    <row r="17" spans="1:11" ht="15" x14ac:dyDescent="0.2">
      <c r="A17" s="5" t="s">
        <v>22</v>
      </c>
      <c r="B17" s="7">
        <v>48</v>
      </c>
      <c r="C17">
        <v>70.86</v>
      </c>
      <c r="D17" s="35">
        <f t="shared" si="0"/>
        <v>5021.1395999999995</v>
      </c>
      <c r="E17">
        <v>0.215</v>
      </c>
      <c r="F17">
        <f t="shared" si="2"/>
        <v>2.6362762597830565E-4</v>
      </c>
      <c r="G17">
        <f t="shared" si="3"/>
        <v>13.87495444261299</v>
      </c>
      <c r="H17">
        <f t="shared" si="4"/>
        <v>2.08091366627952E-2</v>
      </c>
      <c r="I17">
        <v>1999</v>
      </c>
      <c r="J17">
        <f t="shared" si="1"/>
        <v>7.6116103325260323E-5</v>
      </c>
      <c r="K17" s="59">
        <f t="shared" si="5"/>
        <v>3.4346889018664389E-5</v>
      </c>
    </row>
    <row r="18" spans="1:11" ht="15" x14ac:dyDescent="0.2">
      <c r="A18" s="5" t="s">
        <v>23</v>
      </c>
      <c r="B18" s="7"/>
      <c r="C18">
        <v>17.8</v>
      </c>
      <c r="D18" s="35">
        <f t="shared" si="0"/>
        <v>316.84000000000003</v>
      </c>
      <c r="E18">
        <v>0.495</v>
      </c>
      <c r="F18">
        <f t="shared" si="2"/>
        <v>0</v>
      </c>
      <c r="G18">
        <f t="shared" si="3"/>
        <v>219.8841156419644</v>
      </c>
      <c r="H18">
        <f t="shared" si="4"/>
        <v>4.7909407665505228E-2</v>
      </c>
      <c r="I18">
        <v>2000</v>
      </c>
      <c r="J18">
        <f t="shared" si="1"/>
        <v>0</v>
      </c>
      <c r="K18" s="59">
        <f t="shared" si="5"/>
        <v>0</v>
      </c>
    </row>
    <row r="19" spans="1:11" ht="15" x14ac:dyDescent="0.2">
      <c r="A19" s="5" t="s">
        <v>24</v>
      </c>
      <c r="B19" s="7"/>
      <c r="C19">
        <v>45.6</v>
      </c>
      <c r="D19" s="35">
        <f t="shared" si="0"/>
        <v>2079.36</v>
      </c>
      <c r="E19">
        <v>0.54500000000000004</v>
      </c>
      <c r="F19">
        <f t="shared" si="2"/>
        <v>0</v>
      </c>
      <c r="G19">
        <f t="shared" si="3"/>
        <v>33.504579870729458</v>
      </c>
      <c r="H19">
        <f t="shared" si="4"/>
        <v>5.2748741773132025E-2</v>
      </c>
      <c r="I19">
        <v>2002</v>
      </c>
      <c r="J19">
        <f t="shared" si="1"/>
        <v>0</v>
      </c>
      <c r="K19" s="59">
        <f t="shared" si="5"/>
        <v>0</v>
      </c>
    </row>
    <row r="20" spans="1:11" ht="15" x14ac:dyDescent="0.2">
      <c r="A20" s="5" t="s">
        <v>25</v>
      </c>
      <c r="B20" s="7">
        <v>61</v>
      </c>
      <c r="C20">
        <v>47.94</v>
      </c>
      <c r="D20" s="35">
        <f t="shared" si="0"/>
        <v>2298.2435999999998</v>
      </c>
      <c r="E20">
        <v>0.54900000000000004</v>
      </c>
      <c r="F20">
        <f t="shared" si="2"/>
        <v>3.3502677468076343E-4</v>
      </c>
      <c r="G20">
        <f t="shared" si="3"/>
        <v>30.31362001834793</v>
      </c>
      <c r="H20">
        <f t="shared" si="4"/>
        <v>5.3135888501742168E-2</v>
      </c>
      <c r="I20">
        <v>1999</v>
      </c>
      <c r="J20">
        <f t="shared" si="1"/>
        <v>5.3964140676164226E-4</v>
      </c>
      <c r="K20" s="59">
        <f t="shared" si="5"/>
        <v>2.4350962146228158E-4</v>
      </c>
    </row>
    <row r="21" spans="1:11" ht="15" x14ac:dyDescent="0.2">
      <c r="A21" s="5" t="s">
        <v>26</v>
      </c>
      <c r="B21" s="51"/>
      <c r="C21">
        <v>58.09</v>
      </c>
      <c r="D21" s="35">
        <f t="shared" si="0"/>
        <v>3374.4481000000005</v>
      </c>
      <c r="E21">
        <v>0.56299999999999994</v>
      </c>
      <c r="F21">
        <f t="shared" si="2"/>
        <v>0</v>
      </c>
      <c r="G21">
        <f t="shared" si="3"/>
        <v>20.645771141064518</v>
      </c>
      <c r="H21">
        <f t="shared" si="4"/>
        <v>5.4490902051877663E-2</v>
      </c>
      <c r="I21">
        <v>2000</v>
      </c>
      <c r="J21">
        <f t="shared" si="1"/>
        <v>0</v>
      </c>
      <c r="K21" s="59">
        <f t="shared" si="5"/>
        <v>0</v>
      </c>
    </row>
    <row r="22" spans="1:11" ht="15" x14ac:dyDescent="0.2">
      <c r="A22" s="5" t="s">
        <v>27</v>
      </c>
      <c r="B22" s="51">
        <v>4763</v>
      </c>
      <c r="C22">
        <v>38.89</v>
      </c>
      <c r="D22" s="35">
        <f t="shared" si="0"/>
        <v>1512.4321</v>
      </c>
      <c r="E22">
        <v>0.53300000000000003</v>
      </c>
      <c r="F22">
        <f t="shared" si="2"/>
        <v>2.6159549636138955E-2</v>
      </c>
      <c r="G22">
        <f t="shared" si="3"/>
        <v>46.06361052506093</v>
      </c>
      <c r="H22">
        <f t="shared" si="4"/>
        <v>5.1587301587301598E-2</v>
      </c>
      <c r="I22">
        <v>1999</v>
      </c>
      <c r="J22">
        <f t="shared" si="1"/>
        <v>6.2162868957743485E-2</v>
      </c>
      <c r="K22" s="59">
        <f t="shared" si="5"/>
        <v>2.8050584145770718E-2</v>
      </c>
    </row>
    <row r="23" spans="1:11" ht="15" x14ac:dyDescent="0.2">
      <c r="A23" s="5" t="s">
        <v>28</v>
      </c>
      <c r="B23" s="51">
        <v>1002</v>
      </c>
      <c r="C23">
        <v>15.81</v>
      </c>
      <c r="D23" s="35">
        <f t="shared" si="0"/>
        <v>249.95610000000002</v>
      </c>
      <c r="E23">
        <v>0.49099999999999999</v>
      </c>
      <c r="F23">
        <f t="shared" si="2"/>
        <v>5.5032266922971302E-3</v>
      </c>
      <c r="G23">
        <f t="shared" si="3"/>
        <v>278.72127625611057</v>
      </c>
      <c r="H23">
        <f t="shared" si="4"/>
        <v>4.7522260936895086E-2</v>
      </c>
      <c r="I23">
        <v>2000</v>
      </c>
      <c r="J23">
        <f t="shared" si="1"/>
        <v>7.2892797744583945E-2</v>
      </c>
      <c r="K23" s="59">
        <f t="shared" si="5"/>
        <v>3.2892393659388793E-2</v>
      </c>
    </row>
    <row r="24" spans="1:11" ht="15" x14ac:dyDescent="0.2">
      <c r="A24" s="39" t="s">
        <v>36</v>
      </c>
      <c r="B24" s="40">
        <f>SUM(B7:B23)</f>
        <v>10243</v>
      </c>
      <c r="C24" s="39"/>
      <c r="D24" s="41"/>
      <c r="E24" s="39"/>
      <c r="F24" s="39"/>
      <c r="G24" s="39"/>
      <c r="H24" s="39"/>
      <c r="I24" s="39"/>
      <c r="J24" s="39"/>
      <c r="K24" s="61">
        <f>SUM(K7:K23)</f>
        <v>9.2892484195873787E-2</v>
      </c>
    </row>
    <row r="25" spans="1:11" ht="15" x14ac:dyDescent="0.2">
      <c r="A25" s="14" t="s">
        <v>29</v>
      </c>
      <c r="B25" s="7">
        <f>SUM(B6,B24)</f>
        <v>182075</v>
      </c>
      <c r="C25">
        <f>SUM(C2:C5,C7:C23)</f>
        <v>1081.6599999999999</v>
      </c>
      <c r="D25">
        <f t="shared" ref="D25:H25" si="6">SUM(D2:D5,D7:D23)</f>
        <v>69668.083200000008</v>
      </c>
      <c r="E25">
        <f t="shared" si="6"/>
        <v>10.331999999999999</v>
      </c>
      <c r="F25">
        <f t="shared" si="6"/>
        <v>1.0000000000000002</v>
      </c>
      <c r="G25">
        <f t="shared" si="6"/>
        <v>1021.6299506783203</v>
      </c>
      <c r="H25">
        <f t="shared" si="6"/>
        <v>0.99999999999999989</v>
      </c>
      <c r="J25" s="8">
        <f>SUM(J2:J5,J7:J23)</f>
        <v>2.2160989102651536</v>
      </c>
      <c r="K25" s="15">
        <f>SUM(K6,K24)</f>
        <v>0.99999999999999978</v>
      </c>
    </row>
    <row r="27" spans="1:11" ht="15" x14ac:dyDescent="0.2">
      <c r="A27" s="6"/>
    </row>
    <row r="28" spans="1:11" ht="15" x14ac:dyDescent="0.2">
      <c r="A28" s="50" t="s">
        <v>62</v>
      </c>
    </row>
    <row r="29" spans="1:11" ht="15" x14ac:dyDescent="0.2">
      <c r="A29" t="s">
        <v>60</v>
      </c>
    </row>
    <row r="30" spans="1:11" ht="15" x14ac:dyDescent="0.2">
      <c r="A30" t="s">
        <v>61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7" activePane="bottomLeft" state="frozen"/>
      <selection pane="bottomLeft" activeCell="A22" sqref="A22"/>
    </sheetView>
  </sheetViews>
  <sheetFormatPr defaultColWidth="8.77734375" defaultRowHeight="14.4" x14ac:dyDescent="0.3"/>
  <cols>
    <col min="1" max="1" width="30.6640625" bestFit="1" customWidth="1"/>
    <col min="2" max="2" width="11.77734375" customWidth="1"/>
    <col min="3" max="3" width="11.44140625" customWidth="1"/>
    <col min="4" max="4" width="12" customWidth="1"/>
    <col min="5" max="6" width="9.109375" customWidth="1"/>
    <col min="7" max="8" width="10" customWidth="1"/>
    <col min="9" max="9" width="9.109375" customWidth="1"/>
    <col min="10" max="10" width="11.44140625" customWidth="1"/>
    <col min="11" max="11" width="9.109375" customWidth="1"/>
    <col min="12" max="12" width="4" customWidth="1"/>
    <col min="13" max="13" width="30.6640625" bestFit="1" customWidth="1"/>
  </cols>
  <sheetData>
    <row r="1" spans="1:11" ht="45" x14ac:dyDescent="0.2">
      <c r="A1" s="1" t="s">
        <v>67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56</v>
      </c>
      <c r="J1" s="1" t="s">
        <v>8</v>
      </c>
      <c r="K1" s="2" t="s">
        <v>9</v>
      </c>
    </row>
    <row r="2" spans="1:11" ht="15" x14ac:dyDescent="0.2">
      <c r="A2" s="3" t="s">
        <v>13</v>
      </c>
      <c r="B2" s="7">
        <v>29389</v>
      </c>
      <c r="C2">
        <v>125.12</v>
      </c>
      <c r="D2">
        <f>C2*C2</f>
        <v>15655.014400000002</v>
      </c>
      <c r="E2">
        <v>0.71899999999999997</v>
      </c>
      <c r="F2">
        <f>B2/$B$25</f>
        <v>0.16141150624742551</v>
      </c>
      <c r="G2">
        <f>$D$25/D2</f>
        <v>6.0948265751834763</v>
      </c>
      <c r="H2">
        <f>E2/$E$25</f>
        <v>4.0642134418630946E-2</v>
      </c>
      <c r="I2">
        <v>2001</v>
      </c>
      <c r="J2">
        <f>F2*G2*H2</f>
        <v>3.9982721388873939E-2</v>
      </c>
      <c r="K2" s="52">
        <f>J2/$J$25</f>
        <v>1.3796964622460736E-2</v>
      </c>
    </row>
    <row r="3" spans="1:11" ht="15" x14ac:dyDescent="0.2">
      <c r="A3" s="3" t="s">
        <v>11</v>
      </c>
      <c r="B3" s="7">
        <v>36369</v>
      </c>
      <c r="C3">
        <v>16.100000000000001</v>
      </c>
      <c r="D3">
        <f>C3*C3</f>
        <v>259.21000000000004</v>
      </c>
      <c r="E3">
        <v>0.45400000000000001</v>
      </c>
      <c r="F3">
        <f>B3/$B$25</f>
        <v>0.19974735685843745</v>
      </c>
      <c r="G3">
        <f>$D$25/D3</f>
        <v>368.09767292928512</v>
      </c>
      <c r="H3">
        <f>E3/$E$25</f>
        <v>2.566276637838449E-2</v>
      </c>
      <c r="I3">
        <v>2001</v>
      </c>
      <c r="J3">
        <f>F3*G3*H3</f>
        <v>1.8868943476314683</v>
      </c>
      <c r="K3" s="4">
        <f>J3/$J$25</f>
        <v>0.65111662378831625</v>
      </c>
    </row>
    <row r="4" spans="1:11" ht="15" x14ac:dyDescent="0.2">
      <c r="A4" s="3" t="s">
        <v>10</v>
      </c>
      <c r="B4" s="7">
        <v>62330</v>
      </c>
      <c r="C4">
        <v>62.75</v>
      </c>
      <c r="D4">
        <f>C4*C4</f>
        <v>3937.5625</v>
      </c>
      <c r="E4">
        <v>0.54600000000000004</v>
      </c>
      <c r="F4">
        <f>B4/$B$25</f>
        <v>0.34233145681724564</v>
      </c>
      <c r="G4">
        <f>$D$25/D4</f>
        <v>24.231894173108369</v>
      </c>
      <c r="H4">
        <f>E4/$E$25</f>
        <v>3.0863150754620997E-2</v>
      </c>
      <c r="I4">
        <v>1999</v>
      </c>
      <c r="J4">
        <f>F4*G4*H4</f>
        <v>0.2560203176763296</v>
      </c>
      <c r="K4" s="53">
        <f>J4/$J$25</f>
        <v>8.8345743934138979E-2</v>
      </c>
    </row>
    <row r="5" spans="1:11" ht="15" x14ac:dyDescent="0.2">
      <c r="A5" s="3" t="s">
        <v>12</v>
      </c>
      <c r="B5" s="7">
        <v>43744</v>
      </c>
      <c r="C5">
        <v>32.880000000000003</v>
      </c>
      <c r="D5">
        <f>C5*C5</f>
        <v>1081.0944000000002</v>
      </c>
      <c r="E5">
        <v>0.55000000000000004</v>
      </c>
      <c r="F5">
        <f>B5/$B$25</f>
        <v>0.24025264314156256</v>
      </c>
      <c r="G5">
        <f>$D$25/D5</f>
        <v>88.257415633639397</v>
      </c>
      <c r="H5">
        <f>E5/$E$25</f>
        <v>3.108925442315302E-2</v>
      </c>
      <c r="I5">
        <v>2000</v>
      </c>
      <c r="J5">
        <f>F5*G5*H5</f>
        <v>0.65921895656288121</v>
      </c>
      <c r="K5" s="52">
        <f>J5/$J$25</f>
        <v>0.22747877848766182</v>
      </c>
    </row>
    <row r="6" spans="1:11" ht="15" x14ac:dyDescent="0.2">
      <c r="A6" s="36" t="s">
        <v>57</v>
      </c>
      <c r="B6" s="37">
        <f>SUM(B2:B5)</f>
        <v>171832</v>
      </c>
      <c r="C6" s="36"/>
      <c r="D6" s="36"/>
      <c r="E6" s="36"/>
      <c r="F6" s="36"/>
      <c r="G6" s="36"/>
      <c r="H6" s="36"/>
      <c r="I6" s="36"/>
      <c r="J6" s="36"/>
      <c r="K6" s="54">
        <f>SUM(K2:K5)</f>
        <v>0.98073811083257778</v>
      </c>
    </row>
    <row r="7" spans="1:11" ht="15" x14ac:dyDescent="0.2">
      <c r="A7" s="5" t="s">
        <v>14</v>
      </c>
      <c r="B7" s="7">
        <v>45</v>
      </c>
      <c r="C7">
        <v>47.64</v>
      </c>
      <c r="D7">
        <f t="shared" ref="D7:D23" si="0">C7*C7</f>
        <v>2269.5696000000003</v>
      </c>
      <c r="E7">
        <v>0.56499999999999995</v>
      </c>
      <c r="F7">
        <f t="shared" ref="F7:F23" si="1">B7/$B$25</f>
        <v>2.4715089935466156E-4</v>
      </c>
      <c r="G7">
        <f t="shared" ref="G7:G23" si="2">$D$25/D7</f>
        <v>42.040833557164319</v>
      </c>
      <c r="H7">
        <f t="shared" ref="H7:H23" si="3">E7/$E$25</f>
        <v>3.1937143180148099E-2</v>
      </c>
      <c r="I7">
        <v>2000</v>
      </c>
      <c r="J7">
        <f t="shared" ref="J7:J23" si="4">F7*G7*H7</f>
        <v>3.3184064496914419E-4</v>
      </c>
      <c r="K7" s="58">
        <f t="shared" ref="K7:K23" si="5">J7/$J$25</f>
        <v>1.1450930501713857E-4</v>
      </c>
    </row>
    <row r="8" spans="1:11" ht="15" x14ac:dyDescent="0.2">
      <c r="A8" s="5" t="s">
        <v>15</v>
      </c>
      <c r="B8" s="7">
        <v>37</v>
      </c>
      <c r="C8">
        <v>78.08</v>
      </c>
      <c r="D8">
        <f t="shared" si="0"/>
        <v>6096.4863999999998</v>
      </c>
      <c r="E8">
        <v>0.55400000000000005</v>
      </c>
      <c r="F8">
        <f t="shared" si="1"/>
        <v>2.032129616916106E-4</v>
      </c>
      <c r="G8">
        <f t="shared" si="2"/>
        <v>15.650752177516548</v>
      </c>
      <c r="H8">
        <f t="shared" si="3"/>
        <v>3.1315358091685043E-2</v>
      </c>
      <c r="I8">
        <v>1999</v>
      </c>
      <c r="J8">
        <f t="shared" si="4"/>
        <v>9.9596482917460144E-5</v>
      </c>
      <c r="K8" s="59">
        <f t="shared" si="5"/>
        <v>3.436807459824618E-5</v>
      </c>
    </row>
    <row r="9" spans="1:11" ht="15" x14ac:dyDescent="0.2">
      <c r="A9" s="5" t="s">
        <v>100</v>
      </c>
      <c r="B9" s="7">
        <v>2884</v>
      </c>
      <c r="C9">
        <v>58.66</v>
      </c>
      <c r="D9">
        <f t="shared" si="0"/>
        <v>3440.9955999999997</v>
      </c>
      <c r="E9">
        <v>0.52900000000000003</v>
      </c>
      <c r="F9">
        <f t="shared" si="1"/>
        <v>1.5839626527529863E-2</v>
      </c>
      <c r="G9">
        <f t="shared" si="2"/>
        <v>27.728776462254128</v>
      </c>
      <c r="H9">
        <f t="shared" si="3"/>
        <v>2.9902210163359904E-2</v>
      </c>
      <c r="I9">
        <v>1999</v>
      </c>
      <c r="J9">
        <f t="shared" si="4"/>
        <v>1.3133453284004839E-2</v>
      </c>
      <c r="K9" s="59">
        <f t="shared" si="5"/>
        <v>4.5320024259423945E-3</v>
      </c>
    </row>
    <row r="10" spans="1:11" ht="15" x14ac:dyDescent="0.2">
      <c r="A10" s="5" t="s">
        <v>17</v>
      </c>
      <c r="B10" s="51"/>
      <c r="C10">
        <v>27.9</v>
      </c>
      <c r="D10">
        <f t="shared" si="0"/>
        <v>778.41</v>
      </c>
      <c r="E10">
        <v>0.42599999999999999</v>
      </c>
      <c r="F10">
        <f t="shared" si="1"/>
        <v>0</v>
      </c>
      <c r="G10">
        <f t="shared" si="2"/>
        <v>122.57627445690576</v>
      </c>
      <c r="H10">
        <f t="shared" si="3"/>
        <v>2.4080040698660335E-2</v>
      </c>
      <c r="I10">
        <v>2000</v>
      </c>
      <c r="J10">
        <f t="shared" si="4"/>
        <v>0</v>
      </c>
      <c r="K10" s="59">
        <f t="shared" si="5"/>
        <v>0</v>
      </c>
    </row>
    <row r="11" spans="1:11" ht="15" x14ac:dyDescent="0.2">
      <c r="A11" s="5" t="s">
        <v>18</v>
      </c>
      <c r="B11" s="51">
        <v>892</v>
      </c>
      <c r="C11">
        <v>39.68</v>
      </c>
      <c r="D11">
        <f t="shared" si="0"/>
        <v>1574.5024000000001</v>
      </c>
      <c r="E11">
        <v>0.56799999999999995</v>
      </c>
      <c r="F11">
        <f t="shared" si="1"/>
        <v>4.8990800494301797E-3</v>
      </c>
      <c r="G11">
        <f t="shared" si="2"/>
        <v>60.599842718563032</v>
      </c>
      <c r="H11">
        <f t="shared" si="3"/>
        <v>3.2106720931547116E-2</v>
      </c>
      <c r="I11">
        <v>2000</v>
      </c>
      <c r="J11">
        <f t="shared" si="4"/>
        <v>9.5319550563515657E-3</v>
      </c>
      <c r="K11" s="59">
        <f t="shared" si="5"/>
        <v>3.2892219970790774E-3</v>
      </c>
    </row>
    <row r="12" spans="1:11" ht="15" x14ac:dyDescent="0.2">
      <c r="A12" s="5" t="s">
        <v>137</v>
      </c>
      <c r="B12" s="51">
        <v>14</v>
      </c>
      <c r="C12">
        <v>113.51</v>
      </c>
      <c r="D12">
        <f t="shared" si="0"/>
        <v>12884.520100000002</v>
      </c>
      <c r="E12">
        <v>0.71</v>
      </c>
      <c r="F12">
        <f t="shared" si="1"/>
        <v>7.6891390910339153E-5</v>
      </c>
      <c r="G12">
        <f t="shared" si="2"/>
        <v>7.4053668324053454</v>
      </c>
      <c r="H12">
        <f t="shared" si="3"/>
        <v>4.0133401164433896E-2</v>
      </c>
      <c r="I12">
        <v>2002</v>
      </c>
      <c r="J12">
        <f t="shared" si="4"/>
        <v>2.2852318055559721E-5</v>
      </c>
      <c r="K12" s="59">
        <f t="shared" si="5"/>
        <v>7.8857219519208428E-6</v>
      </c>
    </row>
    <row r="13" spans="1:11" ht="15" x14ac:dyDescent="0.2">
      <c r="A13" s="5" t="s">
        <v>136</v>
      </c>
      <c r="B13" s="51">
        <v>75</v>
      </c>
      <c r="C13">
        <v>86.98</v>
      </c>
      <c r="D13">
        <f t="shared" si="0"/>
        <v>7565.5204000000003</v>
      </c>
      <c r="E13">
        <v>0.629</v>
      </c>
      <c r="F13">
        <f t="shared" si="1"/>
        <v>4.1191816559110257E-4</v>
      </c>
      <c r="G13">
        <f t="shared" si="2"/>
        <v>12.611769284238532</v>
      </c>
      <c r="H13">
        <f t="shared" si="3"/>
        <v>3.555480187666045E-2</v>
      </c>
      <c r="I13">
        <v>1999</v>
      </c>
      <c r="J13">
        <f t="shared" si="4"/>
        <v>1.8470779550264427E-4</v>
      </c>
      <c r="K13" s="59">
        <f t="shared" si="5"/>
        <v>6.3737705476742389E-5</v>
      </c>
    </row>
    <row r="14" spans="1:11" ht="15" x14ac:dyDescent="0.2">
      <c r="A14" s="5" t="s">
        <v>19</v>
      </c>
      <c r="B14" s="51">
        <v>422</v>
      </c>
      <c r="C14">
        <v>82.48</v>
      </c>
      <c r="D14">
        <f t="shared" si="0"/>
        <v>6802.9504000000006</v>
      </c>
      <c r="E14">
        <v>0.56999999999999995</v>
      </c>
      <c r="F14">
        <f t="shared" si="1"/>
        <v>2.3177262117259371E-3</v>
      </c>
      <c r="G14">
        <f t="shared" si="2"/>
        <v>14.025473094732545</v>
      </c>
      <c r="H14">
        <f t="shared" si="3"/>
        <v>3.2219772765813122E-2</v>
      </c>
      <c r="I14">
        <v>1999</v>
      </c>
      <c r="J14">
        <f t="shared" si="4"/>
        <v>1.0473748106611018E-3</v>
      </c>
      <c r="K14" s="59">
        <f t="shared" si="5"/>
        <v>3.6142095153055107E-4</v>
      </c>
    </row>
    <row r="15" spans="1:11" ht="15" x14ac:dyDescent="0.2">
      <c r="A15" s="5" t="s">
        <v>22</v>
      </c>
      <c r="B15" s="51">
        <v>48</v>
      </c>
      <c r="C15">
        <v>55.93</v>
      </c>
      <c r="D15">
        <f t="shared" si="0"/>
        <v>3128.1648999999998</v>
      </c>
      <c r="E15">
        <v>1.5649999999999999</v>
      </c>
      <c r="F15">
        <f t="shared" si="1"/>
        <v>2.6362762597830565E-4</v>
      </c>
      <c r="G15">
        <f t="shared" si="2"/>
        <v>30.50178006920288</v>
      </c>
      <c r="H15">
        <f t="shared" si="3"/>
        <v>8.8463060313153583E-2</v>
      </c>
      <c r="I15">
        <v>1999</v>
      </c>
      <c r="J15">
        <f t="shared" si="4"/>
        <v>7.1134136414214546E-4</v>
      </c>
      <c r="K15" s="59">
        <f t="shared" si="5"/>
        <v>2.4546482316967043E-4</v>
      </c>
    </row>
    <row r="16" spans="1:11" ht="15" x14ac:dyDescent="0.2">
      <c r="A16" s="5" t="s">
        <v>21</v>
      </c>
      <c r="B16" s="51"/>
      <c r="C16">
        <v>65.459999999999994</v>
      </c>
      <c r="D16">
        <f t="shared" si="0"/>
        <v>4285.0115999999989</v>
      </c>
      <c r="E16">
        <v>2.5649999999999999</v>
      </c>
      <c r="F16">
        <f t="shared" si="1"/>
        <v>0</v>
      </c>
      <c r="G16">
        <f t="shared" si="2"/>
        <v>22.267057060008902</v>
      </c>
      <c r="H16">
        <f t="shared" si="3"/>
        <v>0.14498897744615907</v>
      </c>
      <c r="I16">
        <v>1999</v>
      </c>
      <c r="J16">
        <f t="shared" si="4"/>
        <v>0</v>
      </c>
      <c r="K16" s="59">
        <f t="shared" si="5"/>
        <v>0</v>
      </c>
    </row>
    <row r="17" spans="1:11" ht="15" x14ac:dyDescent="0.2">
      <c r="A17" s="5" t="s">
        <v>135</v>
      </c>
      <c r="B17" s="51"/>
      <c r="C17">
        <v>38.75</v>
      </c>
      <c r="D17">
        <f t="shared" si="0"/>
        <v>1501.5625</v>
      </c>
      <c r="E17">
        <v>0.495</v>
      </c>
      <c r="F17">
        <f t="shared" si="1"/>
        <v>0</v>
      </c>
      <c r="G17">
        <f t="shared" si="2"/>
        <v>63.543540678459948</v>
      </c>
      <c r="H17">
        <f t="shared" si="3"/>
        <v>2.7980328980837715E-2</v>
      </c>
      <c r="I17">
        <v>2000</v>
      </c>
      <c r="J17">
        <f t="shared" si="4"/>
        <v>0</v>
      </c>
      <c r="K17" s="59">
        <f t="shared" si="5"/>
        <v>0</v>
      </c>
    </row>
    <row r="18" spans="1:11" ht="15" x14ac:dyDescent="0.2">
      <c r="A18" s="5" t="s">
        <v>24</v>
      </c>
      <c r="B18" s="51"/>
      <c r="C18">
        <v>74.42</v>
      </c>
      <c r="D18">
        <f t="shared" si="0"/>
        <v>5538.3364000000001</v>
      </c>
      <c r="E18">
        <v>0.54500000000000004</v>
      </c>
      <c r="F18">
        <f t="shared" si="1"/>
        <v>0</v>
      </c>
      <c r="G18">
        <f t="shared" si="2"/>
        <v>17.228024971541998</v>
      </c>
      <c r="H18">
        <f t="shared" si="3"/>
        <v>3.0806624837487993E-2</v>
      </c>
      <c r="I18">
        <v>2002</v>
      </c>
      <c r="J18">
        <f t="shared" si="4"/>
        <v>0</v>
      </c>
      <c r="K18" s="59">
        <f t="shared" si="5"/>
        <v>0</v>
      </c>
    </row>
    <row r="19" spans="1:11" ht="15" x14ac:dyDescent="0.2">
      <c r="A19" s="5" t="s">
        <v>25</v>
      </c>
      <c r="B19" s="51">
        <v>61</v>
      </c>
      <c r="C19">
        <v>76.84</v>
      </c>
      <c r="D19">
        <f t="shared" si="0"/>
        <v>5904.3856000000005</v>
      </c>
      <c r="E19">
        <v>0.54900000000000004</v>
      </c>
      <c r="F19">
        <f t="shared" si="1"/>
        <v>3.3502677468076343E-4</v>
      </c>
      <c r="G19">
        <f t="shared" si="2"/>
        <v>16.159953679177054</v>
      </c>
      <c r="H19">
        <f t="shared" si="3"/>
        <v>3.1032728506020013E-2</v>
      </c>
      <c r="I19">
        <v>1999</v>
      </c>
      <c r="J19">
        <f t="shared" si="4"/>
        <v>1.6801172465709957E-4</v>
      </c>
      <c r="K19" s="59">
        <f t="shared" si="5"/>
        <v>5.7976339296845999E-5</v>
      </c>
    </row>
    <row r="20" spans="1:11" ht="15" x14ac:dyDescent="0.2">
      <c r="A20" s="5" t="s">
        <v>31</v>
      </c>
      <c r="B20" s="51"/>
      <c r="C20">
        <v>76.88</v>
      </c>
      <c r="D20">
        <f t="shared" si="0"/>
        <v>5910.5343999999996</v>
      </c>
      <c r="E20">
        <v>3.5649999999999999</v>
      </c>
      <c r="F20">
        <f t="shared" si="1"/>
        <v>0</v>
      </c>
      <c r="G20">
        <f t="shared" si="2"/>
        <v>16.14314228506986</v>
      </c>
      <c r="H20">
        <f t="shared" si="3"/>
        <v>0.20151489457916455</v>
      </c>
      <c r="I20">
        <v>2000</v>
      </c>
      <c r="J20">
        <f t="shared" si="4"/>
        <v>0</v>
      </c>
      <c r="K20" s="59">
        <f t="shared" si="5"/>
        <v>0</v>
      </c>
    </row>
    <row r="21" spans="1:11" ht="15" x14ac:dyDescent="0.2">
      <c r="A21" s="5" t="s">
        <v>26</v>
      </c>
      <c r="B21" s="51"/>
      <c r="C21">
        <v>34.71</v>
      </c>
      <c r="D21">
        <f t="shared" si="0"/>
        <v>1204.7841000000001</v>
      </c>
      <c r="E21">
        <v>0.56299999999999994</v>
      </c>
      <c r="F21">
        <f t="shared" si="1"/>
        <v>0</v>
      </c>
      <c r="G21">
        <f t="shared" si="2"/>
        <v>79.196428472122108</v>
      </c>
      <c r="H21">
        <f t="shared" si="3"/>
        <v>3.1824091345882086E-2</v>
      </c>
      <c r="I21">
        <v>2000</v>
      </c>
      <c r="J21">
        <f t="shared" si="4"/>
        <v>0</v>
      </c>
      <c r="K21" s="59">
        <f t="shared" si="5"/>
        <v>0</v>
      </c>
    </row>
    <row r="22" spans="1:11" ht="15" x14ac:dyDescent="0.2">
      <c r="A22" s="5" t="s">
        <v>27</v>
      </c>
      <c r="B22" s="51">
        <v>4763</v>
      </c>
      <c r="C22">
        <v>67.55</v>
      </c>
      <c r="D22">
        <f t="shared" si="0"/>
        <v>4563.0024999999996</v>
      </c>
      <c r="E22">
        <v>0.53300000000000003</v>
      </c>
      <c r="F22">
        <f t="shared" si="1"/>
        <v>2.6159549636138955E-2</v>
      </c>
      <c r="G22">
        <f t="shared" si="2"/>
        <v>20.910485541044526</v>
      </c>
      <c r="H22">
        <f t="shared" si="3"/>
        <v>3.0128313831891927E-2</v>
      </c>
      <c r="I22">
        <v>1999</v>
      </c>
      <c r="J22">
        <f t="shared" si="4"/>
        <v>1.6480455338841328E-2</v>
      </c>
      <c r="K22" s="59">
        <f t="shared" si="5"/>
        <v>5.6869630523777069E-3</v>
      </c>
    </row>
    <row r="23" spans="1:11" ht="15" x14ac:dyDescent="0.2">
      <c r="A23" s="5" t="s">
        <v>28</v>
      </c>
      <c r="B23" s="51">
        <v>1002</v>
      </c>
      <c r="C23">
        <v>32.14</v>
      </c>
      <c r="D23">
        <f t="shared" si="0"/>
        <v>1032.9796000000001</v>
      </c>
      <c r="E23">
        <v>0.49099999999999999</v>
      </c>
      <c r="F23">
        <f t="shared" si="1"/>
        <v>5.5032266922971302E-3</v>
      </c>
      <c r="G23">
        <f t="shared" si="2"/>
        <v>92.368327312562613</v>
      </c>
      <c r="H23">
        <f t="shared" si="3"/>
        <v>2.7754225312305692E-2</v>
      </c>
      <c r="I23">
        <v>2000</v>
      </c>
      <c r="J23">
        <f t="shared" si="4"/>
        <v>1.4108134508798956E-2</v>
      </c>
      <c r="K23" s="60">
        <f t="shared" si="5"/>
        <v>4.86833877098176E-3</v>
      </c>
    </row>
    <row r="24" spans="1:11" ht="15" x14ac:dyDescent="0.2">
      <c r="A24" s="39" t="s">
        <v>36</v>
      </c>
      <c r="B24" s="40">
        <f>SUM(B7:B23)</f>
        <v>10243</v>
      </c>
      <c r="C24" s="39"/>
      <c r="D24" s="39"/>
      <c r="E24" s="39"/>
      <c r="F24" s="39"/>
      <c r="G24" s="39"/>
      <c r="H24" s="39"/>
      <c r="I24" s="39"/>
      <c r="J24" s="39"/>
      <c r="K24" s="57">
        <f>SUM(K7:K23)</f>
        <v>1.9261889167422056E-2</v>
      </c>
    </row>
    <row r="25" spans="1:11" ht="15" x14ac:dyDescent="0.2">
      <c r="A25" t="s">
        <v>29</v>
      </c>
      <c r="B25" s="7">
        <f>B24+B6</f>
        <v>182075</v>
      </c>
      <c r="C25" s="13">
        <f>SUM(C2:C5,C7:C23)</f>
        <v>1294.46</v>
      </c>
      <c r="D25">
        <f>SUM(D2:D5,D7:D23)</f>
        <v>95414.597800000018</v>
      </c>
      <c r="E25">
        <f>SUM(E2:E5,E7:E23)</f>
        <v>17.690999999999999</v>
      </c>
      <c r="F25">
        <f>SUM(F2:F5,F7:F23)</f>
        <v>1.0000000000000002</v>
      </c>
      <c r="G25">
        <f>SUM(G2:G5,G7:G23)</f>
        <v>1147.6396379641867</v>
      </c>
      <c r="H25">
        <f>SUM(H4:H23)</f>
        <v>0.93369509920298455</v>
      </c>
      <c r="J25" s="13">
        <f>SUM(J2:J5,J7:J23)</f>
        <v>2.8979360665884553</v>
      </c>
      <c r="K25" s="13">
        <f>K6+K24</f>
        <v>0.99999999999999989</v>
      </c>
    </row>
    <row r="26" spans="1:11" ht="15" x14ac:dyDescent="0.2">
      <c r="B26" s="7"/>
      <c r="C26" s="13"/>
      <c r="J26" s="13"/>
      <c r="K26" s="13"/>
    </row>
    <row r="27" spans="1:11" ht="15" x14ac:dyDescent="0.2">
      <c r="A27" s="6"/>
      <c r="B27" s="7"/>
      <c r="C27" s="13"/>
      <c r="J27" s="13"/>
      <c r="K27" s="13"/>
    </row>
    <row r="28" spans="1:11" ht="15" x14ac:dyDescent="0.2">
      <c r="A28" s="6"/>
      <c r="B28" s="7"/>
      <c r="C28" s="13"/>
      <c r="J28" s="13"/>
      <c r="K28" s="13"/>
    </row>
    <row r="29" spans="1:11" ht="15" x14ac:dyDescent="0.2">
      <c r="A29" s="50" t="s">
        <v>62</v>
      </c>
    </row>
    <row r="30" spans="1:11" ht="15" x14ac:dyDescent="0.2">
      <c r="A30" t="s">
        <v>60</v>
      </c>
    </row>
    <row r="31" spans="1:11" ht="15" x14ac:dyDescent="0.2">
      <c r="A31" t="s">
        <v>61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pane ySplit="1" topLeftCell="A9" activePane="bottomLeft" state="frozen"/>
      <selection pane="bottomLeft" activeCell="C18" sqref="C18"/>
    </sheetView>
  </sheetViews>
  <sheetFormatPr defaultColWidth="8.777343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10" max="10" width="10" bestFit="1" customWidth="1"/>
    <col min="11" max="11" width="11" bestFit="1" customWidth="1"/>
  </cols>
  <sheetData>
    <row r="1" spans="1:11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56</v>
      </c>
      <c r="J1" s="1" t="s">
        <v>8</v>
      </c>
      <c r="K1" s="2" t="s">
        <v>9</v>
      </c>
    </row>
    <row r="2" spans="1:11" ht="15" x14ac:dyDescent="0.2">
      <c r="A2" s="3" t="s">
        <v>13</v>
      </c>
      <c r="B2" s="7">
        <v>29389</v>
      </c>
      <c r="C2">
        <v>84.25</v>
      </c>
      <c r="D2">
        <f>C2*C2</f>
        <v>7098.0625</v>
      </c>
      <c r="E2">
        <v>0.71899999999999997</v>
      </c>
      <c r="F2" s="8">
        <f>B2/$B$23</f>
        <v>0.16141150624742551</v>
      </c>
      <c r="G2">
        <f>$D$23/D2</f>
        <v>8.2594662416680613</v>
      </c>
      <c r="H2">
        <f>E2/$E$23</f>
        <v>6.2811216912728229E-2</v>
      </c>
      <c r="I2">
        <v>2001</v>
      </c>
      <c r="J2" s="9">
        <f>F2*G2*H2</f>
        <v>8.3738211379196625E-2</v>
      </c>
      <c r="K2" s="10">
        <f>J2/$J$23</f>
        <v>4.9913479465229456E-2</v>
      </c>
    </row>
    <row r="3" spans="1:11" ht="15" x14ac:dyDescent="0.2">
      <c r="A3" s="3" t="s">
        <v>11</v>
      </c>
      <c r="B3" s="7">
        <v>36369</v>
      </c>
      <c r="C3">
        <v>52.66</v>
      </c>
      <c r="D3">
        <f>C3*C3</f>
        <v>2773.0755999999997</v>
      </c>
      <c r="E3">
        <v>0.45400000000000001</v>
      </c>
      <c r="F3" s="8">
        <f>B3/$B$23</f>
        <v>0.19974735685843745</v>
      </c>
      <c r="G3">
        <f>$D$23/D3</f>
        <v>21.141222258780111</v>
      </c>
      <c r="H3">
        <f>E3/$E$23</f>
        <v>3.9661046562418104E-2</v>
      </c>
      <c r="I3">
        <v>2001</v>
      </c>
      <c r="J3" s="9">
        <f>F3*G3*H3</f>
        <v>0.1674847630990158</v>
      </c>
      <c r="K3" s="10">
        <f>J3/$J$23</f>
        <v>9.9831930321817058E-2</v>
      </c>
    </row>
    <row r="4" spans="1:11" ht="15" x14ac:dyDescent="0.2">
      <c r="A4" s="3" t="s">
        <v>10</v>
      </c>
      <c r="B4" s="7">
        <v>62330</v>
      </c>
      <c r="C4">
        <v>28.97</v>
      </c>
      <c r="D4">
        <f>C4*C4</f>
        <v>839.26089999999988</v>
      </c>
      <c r="E4">
        <v>0.54600000000000004</v>
      </c>
      <c r="F4" s="8">
        <f>B4/$B$23</f>
        <v>0.34233145681724564</v>
      </c>
      <c r="G4">
        <f>$D$23/D4</f>
        <v>69.854567989525094</v>
      </c>
      <c r="H4">
        <f>E4/$E$23</f>
        <v>4.7698086834978601E-2</v>
      </c>
      <c r="I4">
        <v>2000</v>
      </c>
      <c r="J4" s="9">
        <f>F4*G4*H4</f>
        <v>1.1406241940906465</v>
      </c>
      <c r="K4" s="10">
        <f>J4/$J$23</f>
        <v>0.67988701157559384</v>
      </c>
    </row>
    <row r="5" spans="1:11" ht="15" x14ac:dyDescent="0.2">
      <c r="A5" s="3" t="s">
        <v>12</v>
      </c>
      <c r="B5" s="7">
        <v>43744</v>
      </c>
      <c r="C5">
        <v>67.900000000000006</v>
      </c>
      <c r="D5">
        <f>C5*C5</f>
        <v>4610.4100000000008</v>
      </c>
      <c r="E5">
        <v>0.55000000000000004</v>
      </c>
      <c r="F5" s="8">
        <f>B5/$B$23</f>
        <v>0.24025264314156256</v>
      </c>
      <c r="G5">
        <f>$D$23/D5</f>
        <v>12.71605076338113</v>
      </c>
      <c r="H5">
        <f>E5/$E$23</f>
        <v>4.8047523368568192E-2</v>
      </c>
      <c r="I5">
        <v>2000</v>
      </c>
      <c r="J5" s="9">
        <f>F5*G5*H5</f>
        <v>0.14678829766956675</v>
      </c>
      <c r="K5" s="10">
        <f>J5/$J$23</f>
        <v>8.7495476208441086E-2</v>
      </c>
    </row>
    <row r="6" spans="1:11" ht="15" x14ac:dyDescent="0.2">
      <c r="A6" s="36" t="s">
        <v>35</v>
      </c>
      <c r="B6" s="37">
        <f>SUM(B2:B5)</f>
        <v>171832</v>
      </c>
      <c r="C6" s="36"/>
      <c r="D6" s="38"/>
      <c r="E6" s="36"/>
      <c r="F6" s="36"/>
      <c r="G6" s="36"/>
      <c r="H6" s="36"/>
      <c r="I6" s="36"/>
      <c r="J6" s="36"/>
      <c r="K6" s="42">
        <f>SUM(K2:K5)</f>
        <v>0.91712789757108149</v>
      </c>
    </row>
    <row r="7" spans="1:11" ht="15" x14ac:dyDescent="0.2">
      <c r="A7" s="5" t="s">
        <v>14</v>
      </c>
      <c r="B7" s="7">
        <v>45</v>
      </c>
      <c r="C7" s="5">
        <v>80.45</v>
      </c>
      <c r="D7" s="5">
        <f t="shared" ref="D7:D21" si="0">C7*C7</f>
        <v>6472.2025000000003</v>
      </c>
      <c r="E7" s="5">
        <v>0.56499999999999995</v>
      </c>
      <c r="F7" s="11">
        <f t="shared" ref="F7:F21" si="1">B7/$B$23</f>
        <v>2.4715089935466156E-4</v>
      </c>
      <c r="G7" s="5">
        <f t="shared" ref="G7:G21" si="2">$D$23/D7</f>
        <v>9.0581540982378108</v>
      </c>
      <c r="H7" s="5">
        <f t="shared" ref="H7:H21" si="3">E7/$E$23</f>
        <v>4.9357910369529134E-2</v>
      </c>
      <c r="I7" s="5">
        <v>2000</v>
      </c>
      <c r="J7" s="12">
        <f t="shared" ref="J7:J21" si="4">F7*G7*H7</f>
        <v>1.1049908067685964E-4</v>
      </c>
      <c r="K7" s="55">
        <f t="shared" ref="K7:K21" si="5">J7/$J$23</f>
        <v>6.5864716996586999E-5</v>
      </c>
    </row>
    <row r="8" spans="1:11" ht="15" x14ac:dyDescent="0.2">
      <c r="A8" s="5" t="s">
        <v>15</v>
      </c>
      <c r="B8" s="7">
        <v>37</v>
      </c>
      <c r="C8" s="5">
        <v>41.62</v>
      </c>
      <c r="D8" s="5">
        <f t="shared" si="0"/>
        <v>1732.2243999999998</v>
      </c>
      <c r="E8" s="5">
        <v>0.55400000000000005</v>
      </c>
      <c r="F8" s="11">
        <f t="shared" si="1"/>
        <v>2.032129616916106E-4</v>
      </c>
      <c r="G8" s="5">
        <f t="shared" si="2"/>
        <v>33.844464724085412</v>
      </c>
      <c r="H8" s="5">
        <f t="shared" si="3"/>
        <v>4.8396959902157775E-2</v>
      </c>
      <c r="I8" s="5">
        <v>1999</v>
      </c>
      <c r="J8" s="12">
        <f t="shared" si="4"/>
        <v>3.328565727308941E-4</v>
      </c>
      <c r="K8" s="55">
        <f t="shared" si="5"/>
        <v>1.9840440145820477E-4</v>
      </c>
    </row>
    <row r="9" spans="1:11" ht="15" x14ac:dyDescent="0.2">
      <c r="A9" s="5" t="s">
        <v>16</v>
      </c>
      <c r="B9" s="7">
        <v>2884</v>
      </c>
      <c r="C9" s="5">
        <v>27.64</v>
      </c>
      <c r="D9" s="5">
        <f t="shared" si="0"/>
        <v>763.96960000000001</v>
      </c>
      <c r="E9" s="5">
        <v>0.52900000000000003</v>
      </c>
      <c r="F9" s="11">
        <f t="shared" si="1"/>
        <v>1.5839626527529863E-2</v>
      </c>
      <c r="G9" s="5">
        <f t="shared" si="2"/>
        <v>76.738927308102319</v>
      </c>
      <c r="H9" s="5">
        <f t="shared" si="3"/>
        <v>4.6212981567222859E-2</v>
      </c>
      <c r="I9" s="5">
        <v>1999</v>
      </c>
      <c r="J9" s="12">
        <f t="shared" si="4"/>
        <v>5.6172616131180769E-2</v>
      </c>
      <c r="K9" s="55">
        <f t="shared" si="5"/>
        <v>3.3482572359653462E-2</v>
      </c>
    </row>
    <row r="10" spans="1:11" ht="15" x14ac:dyDescent="0.2">
      <c r="A10" s="5" t="s">
        <v>17</v>
      </c>
      <c r="B10" s="7"/>
      <c r="C10" s="5">
        <v>67.12</v>
      </c>
      <c r="D10" s="5">
        <f t="shared" si="0"/>
        <v>4505.0944000000009</v>
      </c>
      <c r="E10" s="5">
        <v>0.42599999999999999</v>
      </c>
      <c r="F10" s="11">
        <f t="shared" si="1"/>
        <v>0</v>
      </c>
      <c r="G10" s="5">
        <f t="shared" si="2"/>
        <v>13.013313905253572</v>
      </c>
      <c r="H10" s="5">
        <f t="shared" si="3"/>
        <v>3.7214990827290996E-2</v>
      </c>
      <c r="I10" s="5">
        <v>2000</v>
      </c>
      <c r="J10" s="12">
        <f t="shared" si="4"/>
        <v>0</v>
      </c>
      <c r="K10" s="55">
        <f t="shared" si="5"/>
        <v>0</v>
      </c>
    </row>
    <row r="11" spans="1:11" ht="15" x14ac:dyDescent="0.2">
      <c r="A11" s="5" t="s">
        <v>18</v>
      </c>
      <c r="B11" s="7">
        <v>892</v>
      </c>
      <c r="C11" s="5">
        <v>73.349999999999994</v>
      </c>
      <c r="D11" s="5">
        <f t="shared" si="0"/>
        <v>5380.2224999999989</v>
      </c>
      <c r="E11" s="5">
        <v>0.56799999999999995</v>
      </c>
      <c r="F11" s="11">
        <f t="shared" si="1"/>
        <v>4.8990800494301797E-3</v>
      </c>
      <c r="G11" s="5">
        <f t="shared" si="2"/>
        <v>10.896613959738657</v>
      </c>
      <c r="H11" s="5">
        <f t="shared" si="3"/>
        <v>4.9619987769721326E-2</v>
      </c>
      <c r="I11" s="5">
        <v>2000</v>
      </c>
      <c r="J11" s="12">
        <f t="shared" si="4"/>
        <v>2.6488828639897695E-3</v>
      </c>
      <c r="K11" s="55">
        <f t="shared" si="5"/>
        <v>1.5789083413644319E-3</v>
      </c>
    </row>
    <row r="12" spans="1:11" ht="15" x14ac:dyDescent="0.2">
      <c r="A12" s="5" t="s">
        <v>19</v>
      </c>
      <c r="B12" s="7">
        <v>422</v>
      </c>
      <c r="C12" s="5">
        <v>44.97</v>
      </c>
      <c r="D12" s="5">
        <f t="shared" si="0"/>
        <v>2022.3009</v>
      </c>
      <c r="E12" s="5">
        <v>0.56999999999999995</v>
      </c>
      <c r="F12" s="11">
        <f t="shared" si="1"/>
        <v>2.3177262117259371E-3</v>
      </c>
      <c r="G12" s="5">
        <f t="shared" si="2"/>
        <v>28.989853883761814</v>
      </c>
      <c r="H12" s="5">
        <f t="shared" si="3"/>
        <v>4.9794706036516118E-2</v>
      </c>
      <c r="I12" s="5">
        <v>1999</v>
      </c>
      <c r="J12" s="12">
        <f t="shared" si="4"/>
        <v>3.3457333978933208E-3</v>
      </c>
      <c r="K12" s="55">
        <f t="shared" si="5"/>
        <v>1.9942770749623194E-3</v>
      </c>
    </row>
    <row r="13" spans="1:11" ht="15" x14ac:dyDescent="0.2">
      <c r="A13" s="5" t="s">
        <v>20</v>
      </c>
      <c r="B13" s="7">
        <v>75</v>
      </c>
      <c r="C13" s="5">
        <v>48.82</v>
      </c>
      <c r="D13" s="5">
        <f t="shared" si="0"/>
        <v>2383.3924000000002</v>
      </c>
      <c r="E13" s="5">
        <v>0.58199999999999996</v>
      </c>
      <c r="F13" s="11">
        <f t="shared" si="1"/>
        <v>4.1191816559110257E-4</v>
      </c>
      <c r="G13" s="5">
        <f t="shared" si="2"/>
        <v>24.59779917062755</v>
      </c>
      <c r="H13" s="5">
        <f t="shared" si="3"/>
        <v>5.0843015637284876E-2</v>
      </c>
      <c r="I13" s="5">
        <v>1999</v>
      </c>
      <c r="J13" s="12">
        <f t="shared" si="4"/>
        <v>5.1515568634148408E-4</v>
      </c>
      <c r="K13" s="55">
        <f t="shared" si="5"/>
        <v>3.0706665867465463E-4</v>
      </c>
    </row>
    <row r="14" spans="1:11" ht="15" x14ac:dyDescent="0.2">
      <c r="A14" s="5" t="s">
        <v>22</v>
      </c>
      <c r="B14" s="7">
        <v>48</v>
      </c>
      <c r="C14" s="5">
        <v>55.93</v>
      </c>
      <c r="D14" s="5">
        <f t="shared" si="0"/>
        <v>3128.1648999999998</v>
      </c>
      <c r="E14" s="5">
        <v>1.5649999999999999</v>
      </c>
      <c r="F14" s="11">
        <f t="shared" si="1"/>
        <v>2.6362762597830565E-4</v>
      </c>
      <c r="G14" s="5">
        <f t="shared" si="2"/>
        <v>18.741405735995571</v>
      </c>
      <c r="H14" s="5">
        <f t="shared" si="3"/>
        <v>0.13671704376692584</v>
      </c>
      <c r="I14" s="5">
        <v>1999</v>
      </c>
      <c r="J14" s="12">
        <f t="shared" si="4"/>
        <v>6.7548504866987475E-4</v>
      </c>
      <c r="K14" s="55">
        <f t="shared" si="5"/>
        <v>4.0263349969556965E-4</v>
      </c>
    </row>
    <row r="15" spans="1:11" ht="15" x14ac:dyDescent="0.2">
      <c r="A15" s="5" t="s">
        <v>23</v>
      </c>
      <c r="B15" s="7"/>
      <c r="C15" s="5">
        <v>33.950000000000003</v>
      </c>
      <c r="D15" s="5">
        <f t="shared" si="0"/>
        <v>1152.6025000000002</v>
      </c>
      <c r="E15" s="5">
        <v>0.495</v>
      </c>
      <c r="F15" s="11">
        <f t="shared" si="1"/>
        <v>0</v>
      </c>
      <c r="G15" s="5">
        <f t="shared" si="2"/>
        <v>50.86420305352452</v>
      </c>
      <c r="H15" s="5">
        <f t="shared" si="3"/>
        <v>4.3242771031711369E-2</v>
      </c>
      <c r="I15" s="5">
        <v>2000</v>
      </c>
      <c r="J15" s="12">
        <f t="shared" si="4"/>
        <v>0</v>
      </c>
      <c r="K15" s="55">
        <f t="shared" si="5"/>
        <v>0</v>
      </c>
    </row>
    <row r="16" spans="1:11" ht="15" x14ac:dyDescent="0.2">
      <c r="A16" s="5" t="s">
        <v>24</v>
      </c>
      <c r="B16" s="7"/>
      <c r="C16" s="5">
        <v>38.92</v>
      </c>
      <c r="D16" s="5">
        <f t="shared" si="0"/>
        <v>1514.7664000000002</v>
      </c>
      <c r="E16" s="5">
        <v>0.54500000000000004</v>
      </c>
      <c r="F16" s="11">
        <f t="shared" si="1"/>
        <v>0</v>
      </c>
      <c r="G16" s="5">
        <f t="shared" si="2"/>
        <v>38.703134423895328</v>
      </c>
      <c r="H16" s="5">
        <f t="shared" si="3"/>
        <v>4.7610727701581208E-2</v>
      </c>
      <c r="I16" s="5">
        <v>2002</v>
      </c>
      <c r="J16" s="12">
        <f t="shared" si="4"/>
        <v>0</v>
      </c>
      <c r="K16" s="55">
        <f t="shared" si="5"/>
        <v>0</v>
      </c>
    </row>
    <row r="17" spans="1:11" ht="15" x14ac:dyDescent="0.2">
      <c r="A17" s="5" t="s">
        <v>25</v>
      </c>
      <c r="B17" s="7">
        <v>61</v>
      </c>
      <c r="C17" s="5">
        <v>40.75</v>
      </c>
      <c r="D17" s="5">
        <f t="shared" si="0"/>
        <v>1660.5625</v>
      </c>
      <c r="E17" s="5">
        <v>0.54900000000000004</v>
      </c>
      <c r="F17" s="11">
        <f t="shared" si="1"/>
        <v>3.3502677468076343E-4</v>
      </c>
      <c r="G17" s="5">
        <f t="shared" si="2"/>
        <v>35.305029229553242</v>
      </c>
      <c r="H17" s="5">
        <f t="shared" si="3"/>
        <v>4.7960164235170792E-2</v>
      </c>
      <c r="I17" s="5">
        <v>1999</v>
      </c>
      <c r="J17" s="12">
        <f t="shared" si="4"/>
        <v>5.6727906088584168E-4</v>
      </c>
      <c r="K17" s="55">
        <f t="shared" si="5"/>
        <v>3.3813561682563559E-4</v>
      </c>
    </row>
    <row r="18" spans="1:11" ht="15" x14ac:dyDescent="0.2">
      <c r="A18" s="5" t="s">
        <v>137</v>
      </c>
      <c r="B18" s="7">
        <v>14</v>
      </c>
      <c r="C18" s="5">
        <v>73.709999999999994</v>
      </c>
      <c r="D18" s="5">
        <f t="shared" si="0"/>
        <v>5433.1640999999991</v>
      </c>
      <c r="E18" s="5">
        <v>0.64300000000000002</v>
      </c>
      <c r="F18" s="11">
        <f t="shared" si="1"/>
        <v>7.6891390910339153E-5</v>
      </c>
      <c r="G18" s="5">
        <f t="shared" si="2"/>
        <v>10.790435650563181</v>
      </c>
      <c r="H18" s="5">
        <f t="shared" si="3"/>
        <v>5.6171922774526081E-2</v>
      </c>
      <c r="I18" s="5">
        <v>2001</v>
      </c>
      <c r="J18" s="12">
        <f t="shared" si="4"/>
        <v>4.6605372802070544E-5</v>
      </c>
      <c r="K18" s="55">
        <f t="shared" si="5"/>
        <v>2.7779866324006848E-5</v>
      </c>
    </row>
    <row r="19" spans="1:11" ht="15" x14ac:dyDescent="0.2">
      <c r="A19" s="5" t="s">
        <v>26</v>
      </c>
      <c r="B19" s="7"/>
      <c r="C19" s="5">
        <v>69.23</v>
      </c>
      <c r="D19" s="5">
        <f t="shared" si="0"/>
        <v>4792.7929000000004</v>
      </c>
      <c r="E19" s="5">
        <v>0.56299999999999994</v>
      </c>
      <c r="F19" s="11">
        <f t="shared" si="1"/>
        <v>0</v>
      </c>
      <c r="G19" s="5">
        <f t="shared" si="2"/>
        <v>12.232159582776882</v>
      </c>
      <c r="H19" s="5">
        <f t="shared" si="3"/>
        <v>4.9183192102734342E-2</v>
      </c>
      <c r="I19" s="5">
        <v>2000</v>
      </c>
      <c r="J19" s="12">
        <f t="shared" si="4"/>
        <v>0</v>
      </c>
      <c r="K19" s="55">
        <f t="shared" si="5"/>
        <v>0</v>
      </c>
    </row>
    <row r="20" spans="1:11" ht="15" x14ac:dyDescent="0.2">
      <c r="A20" s="5" t="s">
        <v>27</v>
      </c>
      <c r="B20" s="7">
        <v>4763</v>
      </c>
      <c r="C20" s="5">
        <v>33.549999999999997</v>
      </c>
      <c r="D20" s="5">
        <f t="shared" si="0"/>
        <v>1125.6024999999997</v>
      </c>
      <c r="E20" s="5">
        <v>0.53300000000000003</v>
      </c>
      <c r="F20" s="11">
        <f t="shared" si="1"/>
        <v>2.6159549636138955E-2</v>
      </c>
      <c r="G20" s="5">
        <f t="shared" si="2"/>
        <v>52.084290502197732</v>
      </c>
      <c r="H20" s="5">
        <f t="shared" si="3"/>
        <v>4.6562418100812443E-2</v>
      </c>
      <c r="I20" s="5">
        <v>1999</v>
      </c>
      <c r="J20" s="12">
        <f t="shared" si="4"/>
        <v>6.3441368354615779E-2</v>
      </c>
      <c r="K20" s="55">
        <f t="shared" si="5"/>
        <v>3.7815226578876475E-2</v>
      </c>
    </row>
    <row r="21" spans="1:11" ht="15" x14ac:dyDescent="0.2">
      <c r="A21" s="5" t="s">
        <v>28</v>
      </c>
      <c r="B21" s="7">
        <v>1002</v>
      </c>
      <c r="C21" s="5">
        <v>35.19</v>
      </c>
      <c r="D21" s="5">
        <f t="shared" si="0"/>
        <v>1238.3360999999998</v>
      </c>
      <c r="E21" s="5">
        <v>0.49099999999999999</v>
      </c>
      <c r="F21" s="11">
        <f t="shared" si="1"/>
        <v>5.5032266922971302E-3</v>
      </c>
      <c r="G21" s="5">
        <f t="shared" si="2"/>
        <v>47.342726744379029</v>
      </c>
      <c r="H21" s="5">
        <f t="shared" si="3"/>
        <v>4.2893334498121778E-2</v>
      </c>
      <c r="I21" s="5">
        <v>2000</v>
      </c>
      <c r="J21" s="12">
        <f t="shared" si="4"/>
        <v>1.1175333182086642E-2</v>
      </c>
      <c r="K21" s="55">
        <f t="shared" si="5"/>
        <v>6.6612333140871824E-3</v>
      </c>
    </row>
    <row r="22" spans="1:11" ht="15" x14ac:dyDescent="0.2">
      <c r="A22" s="39" t="s">
        <v>36</v>
      </c>
      <c r="B22" s="40">
        <f>SUM(B7:B21)</f>
        <v>10243</v>
      </c>
      <c r="C22" s="39"/>
      <c r="D22" s="41"/>
      <c r="E22" s="39"/>
      <c r="F22" s="39"/>
      <c r="G22" s="39"/>
      <c r="H22" s="39"/>
      <c r="I22" s="39"/>
      <c r="J22" s="39"/>
      <c r="K22" s="56">
        <f>SUM(K7:K21)</f>
        <v>8.2872102428918515E-2</v>
      </c>
    </row>
    <row r="23" spans="1:11" ht="15" x14ac:dyDescent="0.2">
      <c r="A23" t="s">
        <v>29</v>
      </c>
      <c r="B23" s="7">
        <f>B22+B6</f>
        <v>182075</v>
      </c>
      <c r="C23">
        <f t="shared" ref="C23:H23" si="6">SUM(C2:C5,C7:C21)</f>
        <v>998.98</v>
      </c>
      <c r="D23">
        <f t="shared" si="6"/>
        <v>58626.207600000009</v>
      </c>
      <c r="E23">
        <f t="shared" si="6"/>
        <v>11.446999999999999</v>
      </c>
      <c r="F23" s="8">
        <f t="shared" si="6"/>
        <v>1.0000000000000002</v>
      </c>
      <c r="G23">
        <f t="shared" si="6"/>
        <v>575.17381922604693</v>
      </c>
      <c r="H23">
        <f t="shared" si="6"/>
        <v>1.0000000000000002</v>
      </c>
      <c r="J23" s="9">
        <f>SUM(J2:J5,J7:J21)</f>
        <v>1.677667280990299</v>
      </c>
      <c r="K23" s="43">
        <f>K22+K6</f>
        <v>1</v>
      </c>
    </row>
    <row r="24" spans="1:11" ht="15" x14ac:dyDescent="0.2">
      <c r="B24" s="7"/>
    </row>
    <row r="25" spans="1:11" ht="15" x14ac:dyDescent="0.2">
      <c r="A25" s="50" t="s">
        <v>62</v>
      </c>
    </row>
    <row r="26" spans="1:11" ht="15" x14ac:dyDescent="0.2">
      <c r="A26" t="s">
        <v>60</v>
      </c>
    </row>
    <row r="27" spans="1:11" ht="15" x14ac:dyDescent="0.2">
      <c r="A27" t="s">
        <v>61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zoomScale="110" zoomScaleNormal="110" zoomScalePageLayoutView="110" workbookViewId="0">
      <selection activeCell="C41" sqref="C41"/>
    </sheetView>
  </sheetViews>
  <sheetFormatPr defaultColWidth="8.77734375" defaultRowHeight="14.4" x14ac:dyDescent="0.3"/>
  <cols>
    <col min="1" max="1" width="15.109375" customWidth="1"/>
  </cols>
  <sheetData>
    <row r="2" spans="1:15" ht="15" x14ac:dyDescent="0.2">
      <c r="A2" t="s">
        <v>68</v>
      </c>
      <c r="B2" t="s">
        <v>69</v>
      </c>
      <c r="C2" t="s">
        <v>70</v>
      </c>
      <c r="F2" t="s">
        <v>71</v>
      </c>
      <c r="K2" t="s">
        <v>131</v>
      </c>
      <c r="N2" t="s">
        <v>74</v>
      </c>
    </row>
    <row r="3" spans="1:15" ht="15" x14ac:dyDescent="0.2">
      <c r="A3" t="s">
        <v>72</v>
      </c>
      <c r="B3" s="96">
        <v>1999</v>
      </c>
      <c r="C3" s="96">
        <v>2422</v>
      </c>
      <c r="F3" t="s">
        <v>73</v>
      </c>
      <c r="G3">
        <v>2000</v>
      </c>
      <c r="H3">
        <v>1148</v>
      </c>
      <c r="K3">
        <v>1999</v>
      </c>
      <c r="L3">
        <v>2422</v>
      </c>
      <c r="N3">
        <v>1999</v>
      </c>
      <c r="O3">
        <v>1708</v>
      </c>
    </row>
    <row r="4" spans="1:15" ht="15" x14ac:dyDescent="0.2">
      <c r="A4" t="s">
        <v>74</v>
      </c>
      <c r="B4">
        <v>1999</v>
      </c>
      <c r="C4">
        <v>1708</v>
      </c>
      <c r="F4" t="s">
        <v>75</v>
      </c>
      <c r="G4">
        <v>2000</v>
      </c>
      <c r="H4">
        <v>884</v>
      </c>
      <c r="K4">
        <v>2000</v>
      </c>
      <c r="L4">
        <v>3570</v>
      </c>
      <c r="N4">
        <v>2000</v>
      </c>
      <c r="O4">
        <v>2878</v>
      </c>
    </row>
    <row r="5" spans="1:15" ht="15" x14ac:dyDescent="0.2">
      <c r="A5" t="s">
        <v>76</v>
      </c>
      <c r="B5">
        <v>2001</v>
      </c>
      <c r="C5">
        <v>28103</v>
      </c>
      <c r="F5" t="s">
        <v>77</v>
      </c>
      <c r="G5">
        <v>2000</v>
      </c>
      <c r="H5">
        <v>607</v>
      </c>
      <c r="K5">
        <v>2001</v>
      </c>
      <c r="L5">
        <v>3650</v>
      </c>
      <c r="N5">
        <v>2001</v>
      </c>
      <c r="O5">
        <v>3180</v>
      </c>
    </row>
    <row r="6" spans="1:15" ht="15" x14ac:dyDescent="0.2">
      <c r="A6" t="s">
        <v>78</v>
      </c>
      <c r="B6">
        <v>1999</v>
      </c>
      <c r="C6">
        <v>376</v>
      </c>
      <c r="F6" t="s">
        <v>79</v>
      </c>
      <c r="G6">
        <v>1998</v>
      </c>
      <c r="H6">
        <v>40720</v>
      </c>
      <c r="K6">
        <v>2002</v>
      </c>
      <c r="L6">
        <v>2960</v>
      </c>
      <c r="N6">
        <v>2002</v>
      </c>
      <c r="O6">
        <v>1558</v>
      </c>
    </row>
    <row r="7" spans="1:15" ht="15" x14ac:dyDescent="0.2">
      <c r="A7" t="s">
        <v>80</v>
      </c>
      <c r="B7">
        <v>1999</v>
      </c>
      <c r="C7">
        <v>3760</v>
      </c>
      <c r="F7" t="s">
        <v>81</v>
      </c>
      <c r="G7">
        <v>2000</v>
      </c>
      <c r="H7">
        <v>362</v>
      </c>
    </row>
    <row r="8" spans="1:15" ht="15" x14ac:dyDescent="0.2">
      <c r="C8">
        <f>SUM(C3:C7)</f>
        <v>36369</v>
      </c>
      <c r="F8" t="s">
        <v>82</v>
      </c>
      <c r="G8">
        <v>2000</v>
      </c>
      <c r="H8">
        <v>23</v>
      </c>
      <c r="K8" t="s">
        <v>78</v>
      </c>
      <c r="N8" t="s">
        <v>132</v>
      </c>
    </row>
    <row r="9" spans="1:15" ht="15" x14ac:dyDescent="0.2">
      <c r="H9">
        <f>SUM(H3:H8)</f>
        <v>43744</v>
      </c>
      <c r="K9">
        <v>1999</v>
      </c>
      <c r="L9">
        <v>376</v>
      </c>
      <c r="N9">
        <v>1999</v>
      </c>
      <c r="O9">
        <v>3760</v>
      </c>
    </row>
    <row r="10" spans="1:15" ht="15" x14ac:dyDescent="0.2">
      <c r="K10">
        <v>2000</v>
      </c>
      <c r="L10">
        <v>643</v>
      </c>
      <c r="N10">
        <v>2000</v>
      </c>
      <c r="O10">
        <v>2523</v>
      </c>
    </row>
    <row r="11" spans="1:15" ht="15" x14ac:dyDescent="0.2">
      <c r="A11" t="s">
        <v>18</v>
      </c>
      <c r="F11" t="s">
        <v>83</v>
      </c>
      <c r="K11">
        <v>2001</v>
      </c>
      <c r="L11">
        <v>682</v>
      </c>
      <c r="N11">
        <v>2001</v>
      </c>
      <c r="O11">
        <v>2180</v>
      </c>
    </row>
    <row r="12" spans="1:15" ht="15" x14ac:dyDescent="0.2">
      <c r="A12" t="s">
        <v>84</v>
      </c>
      <c r="B12">
        <v>2000</v>
      </c>
      <c r="C12">
        <v>136</v>
      </c>
      <c r="F12" t="s">
        <v>85</v>
      </c>
      <c r="G12">
        <v>2001</v>
      </c>
      <c r="K12">
        <v>2002</v>
      </c>
      <c r="L12">
        <v>611</v>
      </c>
      <c r="N12">
        <v>2002</v>
      </c>
      <c r="O12">
        <v>990</v>
      </c>
    </row>
    <row r="13" spans="1:15" ht="15" x14ac:dyDescent="0.2">
      <c r="A13" t="s">
        <v>86</v>
      </c>
      <c r="B13">
        <v>2000</v>
      </c>
      <c r="C13">
        <v>470</v>
      </c>
      <c r="F13" t="s">
        <v>87</v>
      </c>
      <c r="G13">
        <v>2000</v>
      </c>
    </row>
    <row r="14" spans="1:15" ht="15" x14ac:dyDescent="0.2">
      <c r="A14" t="s">
        <v>88</v>
      </c>
      <c r="B14">
        <v>2000</v>
      </c>
      <c r="C14">
        <v>86</v>
      </c>
      <c r="M14" t="s">
        <v>133</v>
      </c>
    </row>
    <row r="15" spans="1:15" ht="15" x14ac:dyDescent="0.2">
      <c r="A15" t="s">
        <v>89</v>
      </c>
      <c r="B15">
        <v>2000</v>
      </c>
      <c r="C15">
        <v>44</v>
      </c>
      <c r="M15">
        <v>1999</v>
      </c>
      <c r="N15">
        <f>SUM(L3+O3+L9+O9)</f>
        <v>8266</v>
      </c>
    </row>
    <row r="16" spans="1:15" ht="15" x14ac:dyDescent="0.2">
      <c r="A16" t="s">
        <v>90</v>
      </c>
      <c r="B16">
        <v>2000</v>
      </c>
      <c r="C16">
        <v>71</v>
      </c>
      <c r="M16">
        <v>2000</v>
      </c>
      <c r="N16">
        <f>SUM(L4+O4+L10+O10)</f>
        <v>9614</v>
      </c>
    </row>
    <row r="17" spans="1:14" ht="15" x14ac:dyDescent="0.2">
      <c r="A17" t="s">
        <v>91</v>
      </c>
      <c r="B17">
        <v>2000</v>
      </c>
      <c r="C17">
        <v>9</v>
      </c>
      <c r="F17" t="s">
        <v>92</v>
      </c>
      <c r="M17">
        <v>2001</v>
      </c>
      <c r="N17">
        <f>SUM(L5+O5+L11+O11)</f>
        <v>9692</v>
      </c>
    </row>
    <row r="18" spans="1:14" ht="15" x14ac:dyDescent="0.2">
      <c r="A18" t="s">
        <v>93</v>
      </c>
      <c r="B18">
        <v>2000</v>
      </c>
      <c r="C18">
        <v>76</v>
      </c>
      <c r="F18" t="s">
        <v>94</v>
      </c>
      <c r="G18">
        <v>2000</v>
      </c>
      <c r="H18">
        <v>130</v>
      </c>
      <c r="M18">
        <v>2002</v>
      </c>
      <c r="N18">
        <f>SUM(L6+O6+L12+O12)</f>
        <v>6119</v>
      </c>
    </row>
    <row r="19" spans="1:14" ht="15" x14ac:dyDescent="0.2">
      <c r="C19">
        <f>SUM(C12:C18)</f>
        <v>892</v>
      </c>
      <c r="F19" t="s">
        <v>95</v>
      </c>
      <c r="G19">
        <v>2000</v>
      </c>
      <c r="H19">
        <v>5</v>
      </c>
    </row>
    <row r="20" spans="1:14" ht="15" x14ac:dyDescent="0.2">
      <c r="F20" t="s">
        <v>96</v>
      </c>
      <c r="G20">
        <v>2000</v>
      </c>
      <c r="H20">
        <v>480</v>
      </c>
    </row>
    <row r="21" spans="1:14" ht="15" x14ac:dyDescent="0.2">
      <c r="F21" t="s">
        <v>97</v>
      </c>
      <c r="G21">
        <v>2000</v>
      </c>
      <c r="H21">
        <v>387</v>
      </c>
    </row>
    <row r="22" spans="1:14" ht="15" x14ac:dyDescent="0.2">
      <c r="A22" t="s">
        <v>98</v>
      </c>
      <c r="H22">
        <f>SUM(H18:H21)</f>
        <v>1002</v>
      </c>
    </row>
    <row r="23" spans="1:14" ht="15" x14ac:dyDescent="0.2">
      <c r="A23" t="s">
        <v>99</v>
      </c>
      <c r="B23">
        <v>2000</v>
      </c>
      <c r="C23">
        <v>45</v>
      </c>
    </row>
    <row r="25" spans="1:14" ht="15" x14ac:dyDescent="0.2">
      <c r="A25" t="s">
        <v>15</v>
      </c>
      <c r="F25" t="s">
        <v>100</v>
      </c>
      <c r="J25" t="s">
        <v>101</v>
      </c>
    </row>
    <row r="26" spans="1:14" ht="15" x14ac:dyDescent="0.2">
      <c r="A26" t="s">
        <v>134</v>
      </c>
      <c r="B26">
        <v>1999</v>
      </c>
      <c r="C26">
        <v>37</v>
      </c>
      <c r="F26" t="s">
        <v>102</v>
      </c>
      <c r="G26">
        <v>1999</v>
      </c>
      <c r="H26">
        <v>142</v>
      </c>
      <c r="J26" t="s">
        <v>103</v>
      </c>
      <c r="K26">
        <v>2002</v>
      </c>
    </row>
    <row r="27" spans="1:14" ht="15" x14ac:dyDescent="0.2">
      <c r="F27" t="s">
        <v>104</v>
      </c>
      <c r="G27">
        <v>1999</v>
      </c>
      <c r="H27">
        <v>410</v>
      </c>
      <c r="J27" t="s">
        <v>105</v>
      </c>
      <c r="K27">
        <v>2002</v>
      </c>
    </row>
    <row r="28" spans="1:14" ht="15" x14ac:dyDescent="0.2">
      <c r="F28" t="s">
        <v>106</v>
      </c>
      <c r="G28">
        <v>1999</v>
      </c>
      <c r="H28">
        <v>85</v>
      </c>
      <c r="L28">
        <f>SUM(L26:L27)</f>
        <v>0</v>
      </c>
    </row>
    <row r="29" spans="1:14" ht="15" x14ac:dyDescent="0.2">
      <c r="F29" t="s">
        <v>107</v>
      </c>
      <c r="G29">
        <v>1999</v>
      </c>
      <c r="H29">
        <v>187</v>
      </c>
      <c r="J29" t="s">
        <v>108</v>
      </c>
    </row>
    <row r="30" spans="1:14" ht="15" x14ac:dyDescent="0.2">
      <c r="F30" t="s">
        <v>109</v>
      </c>
      <c r="G30">
        <v>1999</v>
      </c>
      <c r="H30">
        <v>346</v>
      </c>
      <c r="J30" t="s">
        <v>110</v>
      </c>
      <c r="K30">
        <v>1999</v>
      </c>
      <c r="L30">
        <v>61</v>
      </c>
    </row>
    <row r="31" spans="1:14" ht="15" x14ac:dyDescent="0.2">
      <c r="F31" t="s">
        <v>111</v>
      </c>
      <c r="G31">
        <v>1999</v>
      </c>
      <c r="H31">
        <v>194</v>
      </c>
      <c r="J31" t="s">
        <v>112</v>
      </c>
      <c r="K31">
        <v>1999</v>
      </c>
    </row>
    <row r="32" spans="1:14" ht="15" x14ac:dyDescent="0.2">
      <c r="F32" t="s">
        <v>113</v>
      </c>
      <c r="G32">
        <v>1999</v>
      </c>
      <c r="H32">
        <v>1492</v>
      </c>
      <c r="L32">
        <f>SUM(L30:L31)</f>
        <v>61</v>
      </c>
    </row>
    <row r="33" spans="1:12" ht="15" x14ac:dyDescent="0.2">
      <c r="F33" t="s">
        <v>114</v>
      </c>
      <c r="G33">
        <v>1999</v>
      </c>
      <c r="H33">
        <v>28</v>
      </c>
    </row>
    <row r="34" spans="1:12" ht="15" x14ac:dyDescent="0.2">
      <c r="H34">
        <f>SUM(H26:H33)</f>
        <v>2884</v>
      </c>
    </row>
    <row r="35" spans="1:12" ht="15" x14ac:dyDescent="0.2">
      <c r="A35" t="s">
        <v>22</v>
      </c>
      <c r="B35">
        <v>1999</v>
      </c>
      <c r="C35">
        <v>48</v>
      </c>
    </row>
    <row r="37" spans="1:12" x14ac:dyDescent="0.3">
      <c r="A37" t="s">
        <v>115</v>
      </c>
      <c r="B37">
        <v>1999</v>
      </c>
      <c r="F37" t="s">
        <v>116</v>
      </c>
      <c r="J37" t="s">
        <v>117</v>
      </c>
    </row>
    <row r="38" spans="1:12" x14ac:dyDescent="0.3">
      <c r="F38" t="s">
        <v>118</v>
      </c>
      <c r="G38">
        <v>1999</v>
      </c>
      <c r="H38">
        <v>320</v>
      </c>
      <c r="J38" t="s">
        <v>119</v>
      </c>
      <c r="K38">
        <v>1999</v>
      </c>
    </row>
    <row r="39" spans="1:12" x14ac:dyDescent="0.3">
      <c r="F39" t="s">
        <v>120</v>
      </c>
      <c r="G39">
        <v>1999</v>
      </c>
      <c r="J39" t="s">
        <v>121</v>
      </c>
      <c r="K39">
        <v>1999</v>
      </c>
    </row>
    <row r="40" spans="1:12" x14ac:dyDescent="0.3">
      <c r="A40" t="s">
        <v>122</v>
      </c>
      <c r="F40" t="s">
        <v>123</v>
      </c>
      <c r="G40">
        <v>1999</v>
      </c>
      <c r="J40" t="s">
        <v>124</v>
      </c>
      <c r="K40">
        <v>1999</v>
      </c>
    </row>
    <row r="41" spans="1:12" x14ac:dyDescent="0.3">
      <c r="A41" t="s">
        <v>125</v>
      </c>
      <c r="B41">
        <v>1999</v>
      </c>
      <c r="C41">
        <v>75</v>
      </c>
      <c r="F41" t="s">
        <v>126</v>
      </c>
      <c r="G41">
        <v>1999</v>
      </c>
      <c r="H41">
        <v>102</v>
      </c>
      <c r="J41" t="s">
        <v>127</v>
      </c>
      <c r="K41">
        <v>1999</v>
      </c>
      <c r="L41">
        <v>2470</v>
      </c>
    </row>
    <row r="42" spans="1:12" x14ac:dyDescent="0.3">
      <c r="H42">
        <f>SUM(H38:H41)</f>
        <v>422</v>
      </c>
      <c r="I42" s="3"/>
      <c r="J42" t="s">
        <v>128</v>
      </c>
      <c r="K42">
        <v>1999</v>
      </c>
      <c r="L42">
        <v>773</v>
      </c>
    </row>
    <row r="43" spans="1:12" x14ac:dyDescent="0.3">
      <c r="A43" t="s">
        <v>129</v>
      </c>
      <c r="B43">
        <v>2000</v>
      </c>
      <c r="J43" t="s">
        <v>130</v>
      </c>
      <c r="K43">
        <v>1999</v>
      </c>
      <c r="L43">
        <v>1520</v>
      </c>
    </row>
    <row r="44" spans="1:12" x14ac:dyDescent="0.3">
      <c r="L44">
        <f>SUM(L38:L43)</f>
        <v>4763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CRM Apportioned Totals</vt:lpstr>
      <vt:lpstr>SB2K-Inchcape-GU</vt:lpstr>
      <vt:lpstr>SB2K-NNG-GU</vt:lpstr>
      <vt:lpstr>SB2K-Seagreen-GU</vt:lpstr>
      <vt:lpstr>Sheet1</vt:lpstr>
    </vt:vector>
  </TitlesOfParts>
  <Company>PELAGICA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Bloor</dc:creator>
  <cp:lastModifiedBy>Walker, Ewan</cp:lastModifiedBy>
  <dcterms:created xsi:type="dcterms:W3CDTF">2014-01-10T14:11:20Z</dcterms:created>
  <dcterms:modified xsi:type="dcterms:W3CDTF">2018-07-12T08:48:20Z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A1194655</vt:lpwstr>
  </property>
  <property fmtid="{D5CDD505-2E9C-101B-9397-08002B2CF9AE}" pid="4" name="Objective-Title">
    <vt:lpwstr>2014 02 07 - FTOWDG - Cumulative Impact - Birds - KI Apportioning CRM - NNG</vt:lpwstr>
  </property>
  <property fmtid="{D5CDD505-2E9C-101B-9397-08002B2CF9AE}" pid="5" name="Objective-Comment">
    <vt:lpwstr/>
  </property>
  <property fmtid="{D5CDD505-2E9C-101B-9397-08002B2CF9AE}" pid="6" name="Objective-CreationStamp">
    <vt:filetime>2014-02-07T00:00:00Z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2014-02-07T00:00:00Z</vt:filetime>
  </property>
  <property fmtid="{D5CDD505-2E9C-101B-9397-08002B2CF9AE}" pid="11" name="Objective-Owner">
    <vt:lpwstr>Alex Robbins</vt:lpwstr>
  </property>
  <property fmtid="{D5CDD505-2E9C-101B-9397-08002B2CF9AE}" pid="12" name="Objective-Path">
    <vt:lpwstr>Objective Global Folder:SNH Fileplan:CNS - Consultations:REN - Renewable Resources:OSWF - Off-shore Wind Farms:CI - Cumulative Impacts:Offshore Wind - Forth and Tay - Cumulative Impacts - Birds:</vt:lpwstr>
  </property>
  <property fmtid="{D5CDD505-2E9C-101B-9397-08002B2CF9AE}" pid="13" name="Objective-Parent">
    <vt:lpwstr>Offshore Wind - Forth and Tay - Cumulative Impacts - Birds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i4>2</vt:i4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</Properties>
</file>