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https://aceaquatec.sharepoint.com/sites/CompanySite/Shared Documents/R&amp;D/Standards &amp; legislation/Regulators/Marine Scotland/"/>
    </mc:Choice>
  </mc:AlternateContent>
  <xr:revisionPtr revIDLastSave="9" documentId="13_ncr:1_{68196787-5A19-4FAF-BBB4-AA9EE0E7A4A7}" xr6:coauthVersionLast="47" xr6:coauthVersionMax="47" xr10:uidLastSave="{239DD9F4-2537-E54E-B15A-325D1D6F20A3}"/>
  <bookViews>
    <workbookView xWindow="20900" yWindow="6620" windowWidth="28840" windowHeight="14240" firstSheet="1" activeTab="3" xr2:uid="{58F711A2-0717-461F-A72F-1551629C4750}"/>
  </bookViews>
  <sheets>
    <sheet name="Introduction" sheetId="16" r:id="rId1"/>
    <sheet name="Cage group calculation" sheetId="14" r:id="rId2"/>
    <sheet name="Source data" sheetId="9" r:id="rId3"/>
    <sheet name="Output summary" sheetId="1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14" l="1"/>
  <c r="K32" i="14"/>
  <c r="L32" i="14"/>
  <c r="M32" i="14"/>
  <c r="N32" i="14"/>
  <c r="C23" i="14"/>
  <c r="C2" i="15" s="1"/>
  <c r="A39" i="14"/>
  <c r="A2" i="15" l="1"/>
  <c r="A1" i="15"/>
  <c r="E5" i="15"/>
  <c r="F5" i="15"/>
  <c r="G5" i="15"/>
  <c r="D5" i="15"/>
  <c r="A31" i="15"/>
  <c r="A25" i="15"/>
  <c r="A26" i="15"/>
  <c r="A27" i="15"/>
  <c r="A28" i="15"/>
  <c r="A29" i="15"/>
  <c r="A30" i="15"/>
  <c r="A24" i="15"/>
  <c r="A19" i="15"/>
  <c r="A20" i="15"/>
  <c r="A21" i="15"/>
  <c r="A18" i="15"/>
  <c r="A6" i="15"/>
  <c r="A7" i="15"/>
  <c r="A8" i="15"/>
  <c r="A9" i="15"/>
  <c r="A10" i="15"/>
  <c r="A11" i="15"/>
  <c r="A12" i="15"/>
  <c r="A13" i="15"/>
  <c r="A14" i="15"/>
  <c r="A15" i="15"/>
  <c r="A16" i="15"/>
  <c r="A5" i="15"/>
  <c r="N29" i="14"/>
  <c r="C5" i="15" l="1"/>
  <c r="B5" i="15"/>
  <c r="A23" i="15"/>
  <c r="B23" i="15"/>
  <c r="C23" i="15"/>
  <c r="B7" i="15"/>
  <c r="C7" i="15"/>
  <c r="D7" i="15"/>
  <c r="E7" i="15"/>
  <c r="F7" i="15"/>
  <c r="G7" i="15"/>
  <c r="B8" i="15"/>
  <c r="C8" i="15"/>
  <c r="D8" i="15"/>
  <c r="E8" i="15"/>
  <c r="F8" i="15"/>
  <c r="G8" i="15"/>
  <c r="B9" i="15"/>
  <c r="C9" i="15"/>
  <c r="D9" i="15"/>
  <c r="E9" i="15"/>
  <c r="F9" i="15"/>
  <c r="G9" i="15"/>
  <c r="B10" i="15"/>
  <c r="C10" i="15"/>
  <c r="D10" i="15"/>
  <c r="E10" i="15"/>
  <c r="F10" i="15"/>
  <c r="G10" i="15"/>
  <c r="B11" i="15"/>
  <c r="C11" i="15"/>
  <c r="D11" i="15"/>
  <c r="E11" i="15"/>
  <c r="F11" i="15"/>
  <c r="G11" i="15"/>
  <c r="B12" i="15"/>
  <c r="C12" i="15"/>
  <c r="D12" i="15"/>
  <c r="E12" i="15"/>
  <c r="F12" i="15"/>
  <c r="G12" i="15"/>
  <c r="B13" i="15"/>
  <c r="C13" i="15"/>
  <c r="D13" i="15"/>
  <c r="E13" i="15"/>
  <c r="F13" i="15"/>
  <c r="G13" i="15"/>
  <c r="B14" i="15"/>
  <c r="C14" i="15"/>
  <c r="D14" i="15"/>
  <c r="E14" i="15"/>
  <c r="F14" i="15"/>
  <c r="G14" i="15"/>
  <c r="B15" i="15"/>
  <c r="C15" i="15"/>
  <c r="D15" i="15"/>
  <c r="E15" i="15"/>
  <c r="F15" i="15"/>
  <c r="G15" i="15"/>
  <c r="B16" i="15"/>
  <c r="C16" i="15"/>
  <c r="D16" i="15"/>
  <c r="E16" i="15"/>
  <c r="F16" i="15"/>
  <c r="G16" i="15"/>
  <c r="B17" i="15"/>
  <c r="C17" i="15"/>
  <c r="C6" i="15"/>
  <c r="D6" i="15"/>
  <c r="E6" i="15"/>
  <c r="F6" i="15"/>
  <c r="G6" i="15"/>
  <c r="B6" i="15"/>
  <c r="B1" i="15"/>
  <c r="B2" i="15"/>
  <c r="D20" i="15"/>
  <c r="E20" i="15"/>
  <c r="F20" i="15"/>
  <c r="G20" i="15"/>
  <c r="L31" i="14"/>
  <c r="J31" i="14"/>
  <c r="J29" i="14"/>
  <c r="J28" i="14"/>
  <c r="J30" i="14"/>
  <c r="J33" i="14"/>
  <c r="J34" i="14"/>
  <c r="J35" i="14"/>
  <c r="J36" i="14"/>
  <c r="J37" i="14"/>
  <c r="J38" i="14"/>
  <c r="J39" i="14"/>
  <c r="J27" i="14"/>
  <c r="K28" i="14"/>
  <c r="K29" i="14"/>
  <c r="K30" i="14"/>
  <c r="K31" i="14"/>
  <c r="K33" i="14"/>
  <c r="K34" i="14"/>
  <c r="K35" i="14"/>
  <c r="K36" i="14"/>
  <c r="K37" i="14"/>
  <c r="K38" i="14"/>
  <c r="K27" i="14"/>
  <c r="M37" i="14"/>
  <c r="L37" i="14"/>
  <c r="N37" i="14"/>
  <c r="D39" i="14"/>
  <c r="K39" i="14" s="1"/>
  <c r="D17" i="15" l="1"/>
  <c r="K40" i="14"/>
  <c r="J40" i="14"/>
  <c r="L27" i="14"/>
  <c r="L28" i="14"/>
  <c r="M28" i="14"/>
  <c r="N28" i="14"/>
  <c r="L29" i="14"/>
  <c r="M29" i="14"/>
  <c r="L30" i="14"/>
  <c r="M30" i="14"/>
  <c r="N30" i="14"/>
  <c r="M31" i="14"/>
  <c r="N31" i="14"/>
  <c r="L33" i="14"/>
  <c r="M33" i="14"/>
  <c r="N33" i="14"/>
  <c r="L34" i="14"/>
  <c r="M34" i="14"/>
  <c r="N34" i="14"/>
  <c r="L35" i="14"/>
  <c r="M35" i="14"/>
  <c r="N35" i="14"/>
  <c r="L36" i="14"/>
  <c r="M36" i="14"/>
  <c r="N36" i="14"/>
  <c r="L38" i="14"/>
  <c r="M38" i="14"/>
  <c r="N38" i="14"/>
  <c r="N27" i="14"/>
  <c r="M27" i="14"/>
  <c r="D40" i="14" l="1"/>
  <c r="D41" i="14" s="1"/>
  <c r="D43" i="14" s="1"/>
  <c r="B53" i="14" l="1"/>
  <c r="B52" i="14"/>
  <c r="B50" i="14"/>
  <c r="B49" i="14"/>
  <c r="B48" i="14"/>
  <c r="B47" i="14"/>
  <c r="B51" i="14"/>
  <c r="D44" i="14"/>
  <c r="D18" i="15"/>
  <c r="D19" i="15"/>
  <c r="H50" i="9"/>
  <c r="G50" i="9"/>
  <c r="F50" i="9"/>
  <c r="B51" i="9"/>
  <c r="L32" i="9" s="1"/>
  <c r="A17" i="15"/>
  <c r="O32" i="9" l="1"/>
  <c r="N32" i="9"/>
  <c r="M32" i="9"/>
  <c r="B25" i="15"/>
  <c r="D21" i="15"/>
  <c r="B30" i="15"/>
  <c r="B29" i="15"/>
  <c r="B26" i="15"/>
  <c r="B28" i="15"/>
  <c r="B27" i="15"/>
  <c r="C51" i="9"/>
  <c r="B52" i="9" s="1"/>
  <c r="L33" i="9" s="1"/>
  <c r="O33" i="9" l="1"/>
  <c r="M33" i="9"/>
  <c r="N33" i="9"/>
  <c r="B24" i="15"/>
  <c r="B54" i="14"/>
  <c r="C52" i="9"/>
  <c r="D52" i="9" s="1"/>
  <c r="D51" i="9"/>
  <c r="B31" i="15" l="1"/>
  <c r="B53" i="9"/>
  <c r="C53" i="9" l="1"/>
  <c r="D53" i="9" s="1"/>
  <c r="L34" i="9"/>
  <c r="B54" i="9" l="1"/>
  <c r="M34" i="9"/>
  <c r="N34" i="9"/>
  <c r="O34" i="9"/>
  <c r="C54" i="9" l="1"/>
  <c r="L35" i="9"/>
  <c r="N35" i="9" l="1"/>
  <c r="O35" i="9"/>
  <c r="M35" i="9"/>
  <c r="B55" i="9"/>
  <c r="D54" i="9"/>
  <c r="L36" i="9" l="1"/>
  <c r="C55" i="9"/>
  <c r="B56" i="9" s="1"/>
  <c r="D55" i="9" l="1"/>
  <c r="L37" i="9"/>
  <c r="C56" i="9"/>
  <c r="B57" i="9" s="1"/>
  <c r="N36" i="9"/>
  <c r="M36" i="9"/>
  <c r="O36" i="9"/>
  <c r="L38" i="9" l="1"/>
  <c r="C57" i="9"/>
  <c r="D56" i="9"/>
  <c r="M37" i="9"/>
  <c r="N37" i="9"/>
  <c r="O37" i="9"/>
  <c r="D57" i="9" l="1"/>
  <c r="B58" i="9"/>
  <c r="N38" i="9"/>
  <c r="M38" i="9"/>
  <c r="O38" i="9"/>
  <c r="C58" i="9" l="1"/>
  <c r="L39" i="9"/>
  <c r="M39" i="9" l="1"/>
  <c r="N39" i="9"/>
  <c r="O39" i="9"/>
  <c r="D58" i="9"/>
  <c r="B59" i="9"/>
  <c r="C59" i="9" l="1"/>
  <c r="B60" i="9" s="1"/>
  <c r="L40" i="9"/>
  <c r="D59" i="9" l="1"/>
  <c r="O40" i="9"/>
  <c r="M40" i="9"/>
  <c r="N40" i="9"/>
  <c r="C60" i="9"/>
  <c r="B61" i="9" s="1"/>
  <c r="L41" i="9"/>
  <c r="D60" i="9" l="1"/>
  <c r="O41" i="9"/>
  <c r="M41" i="9"/>
  <c r="N41" i="9"/>
  <c r="L42" i="9"/>
  <c r="C61" i="9"/>
  <c r="B62" i="9" s="1"/>
  <c r="E51" i="9" s="1"/>
  <c r="L51" i="9" s="1"/>
  <c r="E60" i="9" l="1"/>
  <c r="H60" i="9" s="1"/>
  <c r="O60" i="9" s="1"/>
  <c r="E52" i="9"/>
  <c r="G52" i="9" s="1"/>
  <c r="N52" i="9" s="1"/>
  <c r="D61" i="9"/>
  <c r="H51" i="9"/>
  <c r="O51" i="9" s="1"/>
  <c r="G51" i="9"/>
  <c r="N51" i="9" s="1"/>
  <c r="F51" i="9"/>
  <c r="M51" i="9" s="1"/>
  <c r="E62" i="9"/>
  <c r="M42" i="9"/>
  <c r="N42" i="9"/>
  <c r="O42" i="9"/>
  <c r="C62" i="9"/>
  <c r="L43" i="9"/>
  <c r="E58" i="9"/>
  <c r="E53" i="9"/>
  <c r="E57" i="9"/>
  <c r="E55" i="9"/>
  <c r="E54" i="9"/>
  <c r="E59" i="9"/>
  <c r="E61" i="9"/>
  <c r="E56" i="9"/>
  <c r="F60" i="9" l="1"/>
  <c r="M60" i="9" s="1"/>
  <c r="G60" i="9"/>
  <c r="N60" i="9" s="1"/>
  <c r="L60" i="9"/>
  <c r="L52" i="9"/>
  <c r="F52" i="9"/>
  <c r="M52" i="9" s="1"/>
  <c r="H52" i="9"/>
  <c r="O52" i="9" s="1"/>
  <c r="L55" i="9"/>
  <c r="H55" i="9"/>
  <c r="O55" i="9" s="1"/>
  <c r="G55" i="9"/>
  <c r="N55" i="9" s="1"/>
  <c r="F55" i="9"/>
  <c r="M55" i="9" s="1"/>
  <c r="L57" i="9"/>
  <c r="H57" i="9"/>
  <c r="O57" i="9" s="1"/>
  <c r="F57" i="9"/>
  <c r="M57" i="9" s="1"/>
  <c r="G57" i="9"/>
  <c r="N57" i="9" s="1"/>
  <c r="L59" i="9"/>
  <c r="G59" i="9"/>
  <c r="N59" i="9" s="1"/>
  <c r="H59" i="9"/>
  <c r="O59" i="9" s="1"/>
  <c r="F59" i="9"/>
  <c r="M59" i="9" s="1"/>
  <c r="H53" i="9"/>
  <c r="O53" i="9" s="1"/>
  <c r="L53" i="9"/>
  <c r="F53" i="9"/>
  <c r="M53" i="9" s="1"/>
  <c r="G53" i="9"/>
  <c r="N53" i="9" s="1"/>
  <c r="L56" i="9"/>
  <c r="H56" i="9"/>
  <c r="O56" i="9" s="1"/>
  <c r="G56" i="9"/>
  <c r="N56" i="9" s="1"/>
  <c r="F56" i="9"/>
  <c r="M56" i="9" s="1"/>
  <c r="F54" i="9"/>
  <c r="M54" i="9" s="1"/>
  <c r="G54" i="9"/>
  <c r="N54" i="9" s="1"/>
  <c r="L54" i="9"/>
  <c r="H54" i="9"/>
  <c r="O54" i="9" s="1"/>
  <c r="L58" i="9"/>
  <c r="H58" i="9"/>
  <c r="O58" i="9" s="1"/>
  <c r="G58" i="9"/>
  <c r="N58" i="9" s="1"/>
  <c r="F58" i="9"/>
  <c r="M58" i="9" s="1"/>
  <c r="N43" i="9"/>
  <c r="O43" i="9"/>
  <c r="M43" i="9"/>
  <c r="L61" i="9"/>
  <c r="G61" i="9"/>
  <c r="N61" i="9" s="1"/>
  <c r="H61" i="9"/>
  <c r="O61" i="9" s="1"/>
  <c r="F61" i="9"/>
  <c r="M61" i="9" s="1"/>
  <c r="D62" i="9"/>
  <c r="G62" i="9" s="1"/>
  <c r="N62" i="9" s="1"/>
  <c r="L44" i="9"/>
  <c r="L62" i="9"/>
  <c r="F62" i="9" l="1"/>
  <c r="M62" i="9" s="1"/>
  <c r="F64" i="9" s="1"/>
  <c r="F66" i="9" s="1"/>
  <c r="E39" i="14" s="1"/>
  <c r="E64" i="9"/>
  <c r="G64" i="9"/>
  <c r="G66" i="9" s="1"/>
  <c r="F39" i="14" s="1"/>
  <c r="N44" i="9"/>
  <c r="M44" i="9"/>
  <c r="O44" i="9"/>
  <c r="N46" i="9" s="1"/>
  <c r="H39" i="14" s="1"/>
  <c r="H62" i="9"/>
  <c r="O62" i="9" s="1"/>
  <c r="H64" i="9" s="1"/>
  <c r="H66" i="9" s="1"/>
  <c r="G39" i="14" s="1"/>
  <c r="N39" i="14" l="1"/>
  <c r="G40" i="14" s="1"/>
  <c r="G41" i="14" s="1"/>
  <c r="G17" i="15"/>
  <c r="M39" i="14"/>
  <c r="F40" i="14" s="1"/>
  <c r="F41" i="14" s="1"/>
  <c r="F43" i="14" s="1"/>
  <c r="F44" i="14" s="1"/>
  <c r="F17" i="15"/>
  <c r="L39" i="14"/>
  <c r="E40" i="14" s="1"/>
  <c r="E18" i="15" s="1"/>
  <c r="E17" i="15"/>
  <c r="L9" i="9"/>
  <c r="L11" i="9"/>
  <c r="G18" i="15" l="1"/>
  <c r="F18" i="15"/>
  <c r="F21" i="15"/>
  <c r="C53" i="14"/>
  <c r="C30" i="15" s="1"/>
  <c r="F19" i="15"/>
  <c r="C49" i="14"/>
  <c r="C26" i="15" s="1"/>
  <c r="C50" i="14"/>
  <c r="C27" i="15" s="1"/>
  <c r="C51" i="14"/>
  <c r="C28" i="15" s="1"/>
  <c r="C52" i="14"/>
  <c r="C29" i="15" s="1"/>
  <c r="E41" i="14"/>
  <c r="E43" i="14" s="1"/>
  <c r="G19" i="15"/>
  <c r="G43" i="14"/>
  <c r="E19" i="15" l="1"/>
  <c r="G44" i="14"/>
  <c r="C48" i="14"/>
  <c r="C47" i="14"/>
  <c r="E44" i="14"/>
  <c r="E21" i="15"/>
  <c r="G21" i="15"/>
  <c r="C54" i="14" l="1"/>
  <c r="C24" i="15"/>
  <c r="C25" i="15"/>
  <c r="C31" i="15" l="1"/>
</calcChain>
</file>

<file path=xl/sharedStrings.xml><?xml version="1.0" encoding="utf-8"?>
<sst xmlns="http://schemas.openxmlformats.org/spreadsheetml/2006/main" count="224" uniqueCount="184">
  <si>
    <t>Calculation Instructions</t>
  </si>
  <si>
    <t>ADD sound zones V2.4</t>
  </si>
  <si>
    <t>Marine Scotland  zones</t>
  </si>
  <si>
    <t>only cells in green can be altered</t>
  </si>
  <si>
    <t>cells in red contain key model outputs</t>
  </si>
  <si>
    <t xml:space="preserve">Alternative ADD data in the yellow cells is generated by adding new ADD data in sheet "Source data" </t>
  </si>
  <si>
    <t xml:space="preserve">This alternative ADD data can be used in the yellow cells or copied into available green cells using paste special  - values </t>
  </si>
  <si>
    <t xml:space="preserve">1. Enter the site name and location using the Marine Scotland zone codes G - T. </t>
  </si>
  <si>
    <t>2. Check that all the required ADD devices are shown column A, lines 25-36.</t>
  </si>
  <si>
    <t xml:space="preserve">              (Characteristics of all commercial devices should be verified against test information)</t>
  </si>
  <si>
    <t>3. Use "Source data" sheet to create data for alternative devices. This appears in the yellow cells</t>
  </si>
  <si>
    <t>4. If more than one additional device is needed then copy the values from the yellow cells into green cells using paste special - values</t>
  </si>
  <si>
    <t>5. Enter the numbers of each type of ADD device on a farm site in column B</t>
  </si>
  <si>
    <t>6. If multple ADDs are fired simultaniously set simultaneous to YES otherwise NO</t>
  </si>
  <si>
    <t xml:space="preserve">            (example: if there are 6 RT1 units on site of which 2 fire simultaneously create two RT1 lines one with 4 units and one with 2 simultaneous units)</t>
  </si>
  <si>
    <t>7. Using a site map determine the area of land within the threshold radius and enter the value in the green cells</t>
  </si>
  <si>
    <t>8. The output of this sheet is sumarised in sheet "Output summary"</t>
  </si>
  <si>
    <r>
      <t xml:space="preserve">9. Where applications are made for multiple adjacent cage groups, plot the </t>
    </r>
    <r>
      <rPr>
        <b/>
        <i/>
        <sz val="11"/>
        <color theme="1"/>
        <rFont val="Calibri"/>
        <family val="2"/>
        <scheme val="minor"/>
      </rPr>
      <t>disturbance</t>
    </r>
    <r>
      <rPr>
        <sz val="11"/>
        <color theme="1"/>
        <rFont val="Calibri"/>
        <family val="2"/>
        <scheme val="minor"/>
      </rPr>
      <t xml:space="preserve"> threshold circles on a map and report the total </t>
    </r>
  </si>
  <si>
    <t xml:space="preserve">             sea area enclosed within the envelope. Neglect significant sound shadow zones caused by the coast shape but not by small rock outcrops </t>
  </si>
  <si>
    <t>10. Do not combine or discount PTS (injury) zones for different sites even if they seem to overlap</t>
  </si>
  <si>
    <t>potential disturbance and injury  calculation</t>
  </si>
  <si>
    <t>farm name and cage group</t>
  </si>
  <si>
    <t>cage group 1</t>
  </si>
  <si>
    <t>Calculation of combined farm site disturbance area</t>
  </si>
  <si>
    <t>farm location</t>
  </si>
  <si>
    <t>Single ADD level (disturbance) &amp; weighted SEL (PTS injury)</t>
  </si>
  <si>
    <t>MMPA</t>
  </si>
  <si>
    <t>simultanious</t>
  </si>
  <si>
    <t>asyncronious</t>
  </si>
  <si>
    <t>linear</t>
  </si>
  <si>
    <t>ADD devices in use</t>
  </si>
  <si>
    <t>number</t>
  </si>
  <si>
    <t>simultaneous</t>
  </si>
  <si>
    <t>Disturbance</t>
  </si>
  <si>
    <t>PTS: LF</t>
  </si>
  <si>
    <t>PTS: HF</t>
  </si>
  <si>
    <t>PTS: VHF</t>
  </si>
  <si>
    <t>compliant?</t>
  </si>
  <si>
    <t>SPL</t>
  </si>
  <si>
    <t>LF</t>
  </si>
  <si>
    <t>HF</t>
  </si>
  <si>
    <t>VHF</t>
  </si>
  <si>
    <t>ADD1</t>
  </si>
  <si>
    <t>NO</t>
  </si>
  <si>
    <t>ADD2  and  Mohn Aqua</t>
  </si>
  <si>
    <t>ADD3  and Gaelforce</t>
  </si>
  <si>
    <t>OTAQ and  ADD4</t>
  </si>
  <si>
    <t>OTAQ patrol and  ADD5</t>
  </si>
  <si>
    <t>YES</t>
  </si>
  <si>
    <t>Genuswave  Salmonsafe</t>
  </si>
  <si>
    <t>Ace Aquatec RT1 flex (S1)</t>
  </si>
  <si>
    <t>Ace Aquatec RT1 ring (S2)</t>
  </si>
  <si>
    <t>Ace Aquatec US3</t>
  </si>
  <si>
    <t>XXX</t>
  </si>
  <si>
    <t>YYY</t>
  </si>
  <si>
    <t>ZZZ</t>
  </si>
  <si>
    <t>total SPL or weighted SEL (dB)</t>
  </si>
  <si>
    <t>threshold radius (m)</t>
  </si>
  <si>
    <t>area of which is land  or sound shadow (sq km)</t>
  </si>
  <si>
    <t>affected area (sq km)</t>
  </si>
  <si>
    <t>percentage of zone area</t>
  </si>
  <si>
    <t>mammals potentially affected</t>
  </si>
  <si>
    <t>PTS injury</t>
  </si>
  <si>
    <t>Minke whale (LF)</t>
  </si>
  <si>
    <t>Harbour porpoise (VHF)</t>
  </si>
  <si>
    <t xml:space="preserve">for further information on this spread sheet contact </t>
  </si>
  <si>
    <t>Bottlenose dolphin (HF)</t>
  </si>
  <si>
    <t>Dr J A Lines</t>
  </si>
  <si>
    <t>Risso Dolphin (HF)</t>
  </si>
  <si>
    <t>Silsoe Livestock Systems Ltd</t>
  </si>
  <si>
    <t>Common Dolphin (HF)</t>
  </si>
  <si>
    <t>Wrest Park, Silsoe, Bedford</t>
  </si>
  <si>
    <t>White-sided Dolphin (HF)</t>
  </si>
  <si>
    <t>Jeff.Lines@SilsoeResearch.org.uk</t>
  </si>
  <si>
    <t>White-beaked Dolphin (HF)</t>
  </si>
  <si>
    <t>TOTALs</t>
  </si>
  <si>
    <t>this file is secured with EPScalc</t>
  </si>
  <si>
    <t>Data and calculation of weighted SEL levels</t>
  </si>
  <si>
    <t>Change only the contents of green cells</t>
  </si>
  <si>
    <t xml:space="preserve">1. This sheet stores the modelling data provided by Marine Scotland and NOAA  </t>
  </si>
  <si>
    <t>2. This sheet allows new ADD data to be introduced to the calculation using green cells K8 - K13 and tests this device for MMPA compliance</t>
  </si>
  <si>
    <t>3. The sheet allows new area data to be added to the calculation using green cells I25 - I34</t>
  </si>
  <si>
    <t>Box1: ADD types</t>
  </si>
  <si>
    <t>Mohn Aqua (?)</t>
  </si>
  <si>
    <t>Gaelforce (?)</t>
  </si>
  <si>
    <t>Otaq (?)</t>
  </si>
  <si>
    <t>Otaq patrol (?)</t>
  </si>
  <si>
    <t>GenusWave (?)</t>
  </si>
  <si>
    <t>Ace Aquatec</t>
  </si>
  <si>
    <t xml:space="preserve">  Marine Scotland TABLE 2</t>
  </si>
  <si>
    <t>ADD2</t>
  </si>
  <si>
    <t>ADD3</t>
  </si>
  <si>
    <t>ADD4</t>
  </si>
  <si>
    <t>ADD5</t>
  </si>
  <si>
    <t>RT1 flex (S1)</t>
  </si>
  <si>
    <t>RT1 ring (S2)</t>
  </si>
  <si>
    <t>US3</t>
  </si>
  <si>
    <r>
      <t>sound level@1m dB</t>
    </r>
    <r>
      <rPr>
        <sz val="8"/>
        <color theme="1"/>
        <rFont val="Calibri"/>
        <family val="2"/>
        <scheme val="minor"/>
      </rPr>
      <t xml:space="preserve">rms  </t>
    </r>
    <r>
      <rPr>
        <sz val="11"/>
        <color theme="1"/>
        <rFont val="Calibri"/>
        <family val="2"/>
        <scheme val="minor"/>
      </rPr>
      <t>re 1</t>
    </r>
    <r>
      <rPr>
        <sz val="11"/>
        <color theme="1"/>
        <rFont val="Calibri"/>
        <family val="2"/>
      </rPr>
      <t>µ</t>
    </r>
    <r>
      <rPr>
        <sz val="11"/>
        <color theme="1"/>
        <rFont val="Calibri"/>
        <family val="2"/>
        <scheme val="minor"/>
      </rPr>
      <t>Pa</t>
    </r>
  </si>
  <si>
    <t>This device</t>
  </si>
  <si>
    <t>lower frequency bound kHz</t>
  </si>
  <si>
    <t>upper frequency bound kHz</t>
  </si>
  <si>
    <t>duty cycle</t>
  </si>
  <si>
    <t>Compliant</t>
  </si>
  <si>
    <t>Box2: Marine mammal sensitivity</t>
  </si>
  <si>
    <t>MMPA compliance  determines whether fish can be exported to the USA</t>
  </si>
  <si>
    <t>Marine Scotland TABLE 1</t>
  </si>
  <si>
    <t>see</t>
  </si>
  <si>
    <t>LF Mammals</t>
  </si>
  <si>
    <t>HF Mammals</t>
  </si>
  <si>
    <t>VHF Mammals</t>
  </si>
  <si>
    <t xml:space="preserve">https://jmlondon.shinyapps.io/NMFSAcousticDeterrentWebTool/ </t>
  </si>
  <si>
    <t>(eg minke)</t>
  </si>
  <si>
    <t>(eg dolphins)</t>
  </si>
  <si>
    <t xml:space="preserve">(eg Porpoise) </t>
  </si>
  <si>
    <t>for MMPA certification</t>
  </si>
  <si>
    <t>7Hz - 35kHz</t>
  </si>
  <si>
    <t>150Hz - 160kHz</t>
  </si>
  <si>
    <t>175Hz - 160 kHz</t>
  </si>
  <si>
    <t>disturbance dB(flat)</t>
  </si>
  <si>
    <t>injury dB(weighted)</t>
  </si>
  <si>
    <t>Box 3: Marine Mammal density (animals/sq km)</t>
  </si>
  <si>
    <t xml:space="preserve"> Marine Scotland TABLE 6</t>
  </si>
  <si>
    <t>Block</t>
  </si>
  <si>
    <t>G</t>
  </si>
  <si>
    <t>H</t>
  </si>
  <si>
    <t>I</t>
  </si>
  <si>
    <t>J</t>
  </si>
  <si>
    <t>K</t>
  </si>
  <si>
    <t>S</t>
  </si>
  <si>
    <t>T</t>
  </si>
  <si>
    <t>cal</t>
  </si>
  <si>
    <t>Location</t>
  </si>
  <si>
    <t>Argyll</t>
  </si>
  <si>
    <t>zone H</t>
  </si>
  <si>
    <t>Minch</t>
  </si>
  <si>
    <t>Hebrides west coast</t>
  </si>
  <si>
    <t>North coast west</t>
  </si>
  <si>
    <t>North coast &amp; Orkney</t>
  </si>
  <si>
    <t>Shetland</t>
  </si>
  <si>
    <t>1</t>
  </si>
  <si>
    <t>total area (sq km)</t>
  </si>
  <si>
    <t>15122</t>
  </si>
  <si>
    <t>18364</t>
  </si>
  <si>
    <t>13979</t>
  </si>
  <si>
    <t>35099</t>
  </si>
  <si>
    <t>32505</t>
  </si>
  <si>
    <t>40383</t>
  </si>
  <si>
    <t>65417</t>
  </si>
  <si>
    <t>filter  values for MMPA compliance calculation</t>
  </si>
  <si>
    <t>Box 4: distance attenuation factor</t>
  </si>
  <si>
    <t>RL=SL-18.3Log(metres)</t>
  </si>
  <si>
    <t>Box 5: Frequency Weighting coefficients</t>
  </si>
  <si>
    <t>NOAA Table ES2</t>
  </si>
  <si>
    <t>a</t>
  </si>
  <si>
    <t>b</t>
  </si>
  <si>
    <t>f1</t>
  </si>
  <si>
    <t>f2</t>
  </si>
  <si>
    <t>C</t>
  </si>
  <si>
    <t>k</t>
  </si>
  <si>
    <t>MMPA compliant?</t>
  </si>
  <si>
    <t>division of ADD spectrum into 12 equal octave bands</t>
  </si>
  <si>
    <t>Frequency band</t>
  </si>
  <si>
    <t>lower kHz</t>
  </si>
  <si>
    <t>upper kHz</t>
  </si>
  <si>
    <t>centre (kHz)</t>
  </si>
  <si>
    <t>unweighted</t>
  </si>
  <si>
    <t>Band 1</t>
  </si>
  <si>
    <t>Band 2</t>
  </si>
  <si>
    <t>Band 3</t>
  </si>
  <si>
    <t>Band 4</t>
  </si>
  <si>
    <t>Band 5</t>
  </si>
  <si>
    <t>Band 6</t>
  </si>
  <si>
    <t>Band 7</t>
  </si>
  <si>
    <t>Band 8</t>
  </si>
  <si>
    <t>Band 9</t>
  </si>
  <si>
    <t>Band 10</t>
  </si>
  <si>
    <t>Band 11</t>
  </si>
  <si>
    <t>Band 12</t>
  </si>
  <si>
    <t>total weighted level dB Leq</t>
  </si>
  <si>
    <t>Calculation result: This data is passed to yellow cells in sheet "Cage group calculation"</t>
  </si>
  <si>
    <t xml:space="preserve">total frequency weighted SEL (dB) </t>
  </si>
  <si>
    <t>Single ADD SPL and SEL levels</t>
  </si>
  <si>
    <t>Notes</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</si>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</sst>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
    <numFmt numFmtId="167" formatCode="0.00000"/>
  </numFmts>
  <fonts count="19" x14ac:knownFonts="1">
    <font>
      <sz val="11"/>
      <color theme="1"/>
      <name val="Calibri"/>
      <family val="2"/>
      <scheme val="minor"/>
    </font>
    <font>
      <sz val="11"/>
      <color rgb="FF006100"/>
      <name val="Calibri"/>
      <family val="2"/>
      <scheme val="minor"/>
    </font>
    <font>
      <b/>
      <sz val="11"/>
      <color theme="1"/>
      <name val="Calibri"/>
      <family val="2"/>
      <scheme val="minor"/>
    </font>
    <font>
      <sz val="8"/>
      <name val="Calibri"/>
      <family val="2"/>
      <scheme val="minor"/>
    </font>
    <font>
      <sz val="11"/>
      <color rgb="FF9C0006"/>
      <name val="Calibri"/>
      <family val="2"/>
      <scheme val="minor"/>
    </font>
    <font>
      <sz val="11"/>
      <color theme="0" tint="-0.34998626667073579"/>
      <name val="Calibri"/>
      <family val="2"/>
      <scheme val="minor"/>
    </font>
    <font>
      <sz val="11"/>
      <color rgb="FF9C5700"/>
      <name val="Calibri"/>
      <family val="2"/>
      <scheme val="minor"/>
    </font>
    <font>
      <b/>
      <sz val="11"/>
      <color rgb="FF9C0006"/>
      <name val="Calibri"/>
      <family val="2"/>
      <scheme val="minor"/>
    </font>
    <font>
      <sz val="11"/>
      <color theme="0" tint="-0.249977111117893"/>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4"/>
      <color rgb="FF006100"/>
      <name val="Calibri"/>
      <family val="2"/>
      <scheme val="minor"/>
    </font>
    <font>
      <sz val="14"/>
      <name val="Calibri"/>
      <family val="2"/>
      <scheme val="minor"/>
    </font>
    <font>
      <u/>
      <sz val="11"/>
      <color theme="10"/>
      <name val="Calibri"/>
      <family val="2"/>
      <scheme val="minor"/>
    </font>
    <font>
      <sz val="8"/>
      <color theme="1"/>
      <name val="Calibri"/>
      <family val="2"/>
      <scheme val="minor"/>
    </font>
    <font>
      <b/>
      <i/>
      <sz val="11"/>
      <color theme="1"/>
      <name val="Calibri"/>
      <family val="2"/>
      <scheme val="minor"/>
    </font>
    <font>
      <sz val="11"/>
      <color theme="1"/>
      <name val="Calibri"/>
      <family val="2"/>
    </font>
    <font>
      <sz val="11"/>
      <name val="Calibri"/>
      <family val="2"/>
      <scheme val="minor"/>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2" borderId="0" applyNumberFormat="0" applyBorder="0" applyAlignment="0" applyProtection="0"/>
    <xf numFmtId="0" fontId="4" fillId="3" borderId="0" applyNumberFormat="0" applyBorder="0" applyAlignment="0" applyProtection="0"/>
    <xf numFmtId="0" fontId="6" fillId="4" borderId="0" applyNumberFormat="0" applyBorder="0" applyAlignment="0" applyProtection="0"/>
    <xf numFmtId="0" fontId="14" fillId="0" borderId="0" applyNumberFormat="0" applyFill="0" applyBorder="0" applyAlignment="0" applyProtection="0"/>
  </cellStyleXfs>
  <cellXfs count="199">
    <xf numFmtId="0" fontId="0" fillId="0" borderId="0" xfId="0"/>
    <xf numFmtId="0" fontId="2" fillId="0" borderId="0" xfId="0" applyFont="1" applyProtection="1"/>
    <xf numFmtId="0" fontId="0" fillId="0" borderId="0" xfId="0" applyProtection="1"/>
    <xf numFmtId="0" fontId="8" fillId="0" borderId="0" xfId="0" applyFont="1" applyProtection="1"/>
    <xf numFmtId="0" fontId="1" fillId="2" borderId="0" xfId="1" applyProtection="1"/>
    <xf numFmtId="0" fontId="6" fillId="4" borderId="0" xfId="3" applyProtection="1"/>
    <xf numFmtId="49" fontId="0" fillId="0" borderId="0" xfId="0" applyNumberFormat="1" applyProtection="1"/>
    <xf numFmtId="164" fontId="0" fillId="0" borderId="0" xfId="0" applyNumberFormat="1" applyAlignment="1" applyProtection="1"/>
    <xf numFmtId="0" fontId="9" fillId="0" borderId="0" xfId="0" applyFont="1" applyProtection="1"/>
    <xf numFmtId="164" fontId="2" fillId="0" borderId="0" xfId="0" applyNumberFormat="1" applyFont="1" applyProtection="1"/>
    <xf numFmtId="164" fontId="0" fillId="0" borderId="0" xfId="0" applyNumberFormat="1" applyProtection="1"/>
    <xf numFmtId="0" fontId="0" fillId="0" borderId="0" xfId="0" applyAlignment="1" applyProtection="1">
      <alignment horizontal="center"/>
    </xf>
    <xf numFmtId="165" fontId="0" fillId="0" borderId="0" xfId="0" applyNumberFormat="1" applyProtection="1"/>
    <xf numFmtId="165" fontId="2" fillId="0" borderId="0" xfId="0" applyNumberFormat="1" applyFont="1" applyProtection="1"/>
    <xf numFmtId="0" fontId="5" fillId="0" borderId="0" xfId="0" applyFont="1" applyProtection="1"/>
    <xf numFmtId="0" fontId="0" fillId="0" borderId="0" xfId="0" applyFont="1" applyProtection="1"/>
    <xf numFmtId="0" fontId="2" fillId="0" borderId="1" xfId="0" applyFont="1" applyBorder="1" applyProtection="1"/>
    <xf numFmtId="0" fontId="0" fillId="0" borderId="2" xfId="0" applyBorder="1" applyProtection="1"/>
    <xf numFmtId="0" fontId="0" fillId="0" borderId="0" xfId="0" applyBorder="1" applyProtection="1"/>
    <xf numFmtId="0" fontId="2" fillId="0" borderId="4" xfId="0" applyFont="1" applyBorder="1" applyProtection="1"/>
    <xf numFmtId="0" fontId="0" fillId="0" borderId="4" xfId="0" applyBorder="1" applyProtection="1"/>
    <xf numFmtId="0" fontId="0" fillId="0" borderId="6" xfId="0" applyBorder="1" applyProtection="1"/>
    <xf numFmtId="0" fontId="0" fillId="0" borderId="4" xfId="0" applyBorder="1" applyAlignment="1" applyProtection="1"/>
    <xf numFmtId="49" fontId="0" fillId="0" borderId="4" xfId="0" applyNumberFormat="1" applyBorder="1" applyAlignment="1" applyProtection="1"/>
    <xf numFmtId="49" fontId="5" fillId="0" borderId="0" xfId="0" applyNumberFormat="1" applyFont="1" applyProtection="1"/>
    <xf numFmtId="0" fontId="0" fillId="0" borderId="3" xfId="0" applyBorder="1" applyProtection="1"/>
    <xf numFmtId="0" fontId="0" fillId="0" borderId="7" xfId="0" applyBorder="1" applyProtection="1"/>
    <xf numFmtId="0" fontId="0" fillId="0" borderId="8" xfId="0" applyBorder="1" applyProtection="1"/>
    <xf numFmtId="0" fontId="0" fillId="0" borderId="2" xfId="0" applyFont="1" applyBorder="1" applyProtection="1"/>
    <xf numFmtId="0" fontId="0" fillId="0" borderId="3" xfId="0" applyFont="1" applyBorder="1" applyProtection="1"/>
    <xf numFmtId="0" fontId="0" fillId="0" borderId="4" xfId="0" applyFont="1" applyBorder="1" applyProtection="1"/>
    <xf numFmtId="0" fontId="0" fillId="0" borderId="6" xfId="0" applyFont="1" applyBorder="1" applyProtection="1"/>
    <xf numFmtId="164" fontId="6" fillId="4" borderId="0" xfId="3" applyNumberFormat="1" applyAlignment="1" applyProtection="1"/>
    <xf numFmtId="3" fontId="0" fillId="0" borderId="0" xfId="0" applyNumberFormat="1" applyProtection="1"/>
    <xf numFmtId="0" fontId="10" fillId="0" borderId="0" xfId="0" applyFont="1" applyProtection="1"/>
    <xf numFmtId="0" fontId="11" fillId="0" borderId="0" xfId="0" applyFont="1" applyProtection="1"/>
    <xf numFmtId="0" fontId="12" fillId="2" borderId="0" xfId="1" applyFont="1" applyProtection="1"/>
    <xf numFmtId="0" fontId="13" fillId="0" borderId="0" xfId="0" applyFont="1" applyProtection="1"/>
    <xf numFmtId="0" fontId="14" fillId="0" borderId="0" xfId="4" applyProtection="1"/>
    <xf numFmtId="0" fontId="4" fillId="3" borderId="0" xfId="2" applyProtection="1"/>
    <xf numFmtId="0" fontId="0" fillId="0" borderId="1" xfId="0" applyBorder="1"/>
    <xf numFmtId="0" fontId="0" fillId="0" borderId="2" xfId="0" applyBorder="1"/>
    <xf numFmtId="0" fontId="0" fillId="0" borderId="3" xfId="0" applyBorder="1"/>
    <xf numFmtId="0" fontId="0" fillId="0" borderId="6" xfId="0" applyBorder="1"/>
    <xf numFmtId="0" fontId="0" fillId="0" borderId="7" xfId="0" applyBorder="1"/>
    <xf numFmtId="0" fontId="0" fillId="0" borderId="8" xfId="0" applyBorder="1"/>
    <xf numFmtId="2" fontId="0" fillId="0" borderId="2" xfId="0" applyNumberFormat="1" applyBorder="1"/>
    <xf numFmtId="2" fontId="0" fillId="0" borderId="3" xfId="0" applyNumberFormat="1" applyBorder="1"/>
    <xf numFmtId="2" fontId="0" fillId="0" borderId="0" xfId="0" applyNumberFormat="1" applyBorder="1"/>
    <xf numFmtId="2" fontId="0" fillId="0" borderId="5" xfId="0" applyNumberFormat="1" applyBorder="1"/>
    <xf numFmtId="2" fontId="0" fillId="0" borderId="1" xfId="0" applyNumberFormat="1" applyBorder="1"/>
    <xf numFmtId="2" fontId="0" fillId="0" borderId="12" xfId="0" applyNumberFormat="1" applyBorder="1"/>
    <xf numFmtId="2" fontId="0" fillId="0" borderId="13" xfId="0" applyNumberFormat="1" applyBorder="1"/>
    <xf numFmtId="0" fontId="0" fillId="0" borderId="9"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15" fillId="0" borderId="7" xfId="0" applyFont="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1" fontId="0" fillId="0" borderId="1" xfId="0" applyNumberFormat="1" applyBorder="1" applyAlignment="1">
      <alignment horizontal="center"/>
    </xf>
    <xf numFmtId="1" fontId="0" fillId="0" borderId="2" xfId="0" applyNumberFormat="1"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1" fontId="0" fillId="0" borderId="0" xfId="0" applyNumberFormat="1" applyBorder="1" applyAlignment="1">
      <alignment horizontal="center"/>
    </xf>
    <xf numFmtId="1" fontId="0" fillId="0" borderId="5" xfId="0" applyNumberFormat="1" applyBorder="1" applyAlignment="1">
      <alignment horizontal="center"/>
    </xf>
    <xf numFmtId="1" fontId="0" fillId="0" borderId="6" xfId="0" applyNumberFormat="1" applyBorder="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xf numFmtId="9" fontId="0" fillId="0" borderId="4" xfId="0" applyNumberFormat="1" applyBorder="1" applyAlignment="1">
      <alignment horizontal="center"/>
    </xf>
    <xf numFmtId="9" fontId="0" fillId="0" borderId="0" xfId="0" applyNumberFormat="1" applyBorder="1" applyAlignment="1">
      <alignment horizontal="center"/>
    </xf>
    <xf numFmtId="9" fontId="0" fillId="0" borderId="5" xfId="0" applyNumberFormat="1" applyBorder="1" applyAlignment="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164" fontId="0" fillId="0" borderId="8" xfId="0" applyNumberFormat="1" applyBorder="1" applyAlignment="1">
      <alignment horizontal="center"/>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1" xfId="0" applyBorder="1" applyProtection="1"/>
    <xf numFmtId="0" fontId="1" fillId="2" borderId="2" xfId="1" applyBorder="1" applyProtection="1">
      <protection locked="0"/>
    </xf>
    <xf numFmtId="0" fontId="1" fillId="2" borderId="7" xfId="1" applyBorder="1" applyProtection="1">
      <protection locked="0"/>
    </xf>
    <xf numFmtId="49" fontId="0" fillId="0" borderId="8" xfId="0" applyNumberFormat="1" applyBorder="1" applyProtection="1"/>
    <xf numFmtId="0" fontId="2" fillId="0" borderId="2" xfId="0" applyFont="1" applyBorder="1" applyProtection="1"/>
    <xf numFmtId="0" fontId="1" fillId="2" borderId="4" xfId="1" applyBorder="1" applyProtection="1">
      <protection locked="0"/>
    </xf>
    <xf numFmtId="0" fontId="4" fillId="3" borderId="4" xfId="2" applyBorder="1" applyProtection="1"/>
    <xf numFmtId="0" fontId="4" fillId="3" borderId="0" xfId="2" applyBorder="1" applyProtection="1"/>
    <xf numFmtId="0" fontId="4" fillId="3" borderId="6" xfId="2" applyBorder="1" applyProtection="1"/>
    <xf numFmtId="0" fontId="4" fillId="3" borderId="7" xfId="2" applyBorder="1" applyProtection="1"/>
    <xf numFmtId="49" fontId="4" fillId="3" borderId="4" xfId="2" applyNumberFormat="1" applyBorder="1" applyProtection="1"/>
    <xf numFmtId="49" fontId="4" fillId="3" borderId="1" xfId="2" applyNumberFormat="1" applyBorder="1" applyProtection="1"/>
    <xf numFmtId="1" fontId="1" fillId="2" borderId="9" xfId="1" applyNumberFormat="1" applyBorder="1" applyAlignment="1" applyProtection="1">
      <alignment horizontal="center"/>
      <protection locked="0"/>
    </xf>
    <xf numFmtId="1" fontId="1" fillId="2" borderId="11" xfId="1" applyNumberFormat="1" applyBorder="1" applyAlignment="1" applyProtection="1">
      <alignment horizontal="center"/>
      <protection locked="0"/>
    </xf>
    <xf numFmtId="0" fontId="1" fillId="2" borderId="1" xfId="1" applyBorder="1" applyAlignment="1" applyProtection="1">
      <alignment horizontal="center"/>
      <protection locked="0"/>
    </xf>
    <xf numFmtId="0" fontId="1" fillId="2" borderId="4" xfId="1" applyBorder="1" applyAlignment="1" applyProtection="1">
      <alignment horizontal="center"/>
      <protection locked="0"/>
    </xf>
    <xf numFmtId="164" fontId="0" fillId="0" borderId="9" xfId="0" applyNumberFormat="1" applyBorder="1" applyAlignment="1" applyProtection="1">
      <alignment horizontal="center" vertical="center"/>
    </xf>
    <xf numFmtId="164" fontId="0" fillId="0" borderId="2" xfId="0" applyNumberFormat="1" applyBorder="1" applyAlignment="1" applyProtection="1">
      <alignment horizontal="center" vertical="center"/>
    </xf>
    <xf numFmtId="164" fontId="0" fillId="0" borderId="3" xfId="0" applyNumberFormat="1" applyBorder="1" applyAlignment="1" applyProtection="1">
      <alignment horizontal="center" vertical="center"/>
    </xf>
    <xf numFmtId="164" fontId="0" fillId="0" borderId="11" xfId="0" applyNumberFormat="1" applyBorder="1" applyAlignment="1" applyProtection="1">
      <alignment horizontal="center" vertical="center"/>
    </xf>
    <xf numFmtId="164" fontId="0" fillId="0" borderId="0" xfId="0" applyNumberFormat="1" applyBorder="1" applyAlignment="1" applyProtection="1">
      <alignment horizontal="center" vertical="center"/>
    </xf>
    <xf numFmtId="164" fontId="0" fillId="0" borderId="5" xfId="0" applyNumberFormat="1" applyBorder="1" applyAlignment="1" applyProtection="1">
      <alignment horizontal="center" vertical="center"/>
    </xf>
    <xf numFmtId="164" fontId="1" fillId="2" borderId="11" xfId="1" applyNumberFormat="1" applyBorder="1" applyAlignment="1" applyProtection="1">
      <alignment horizontal="center" vertical="center"/>
      <protection locked="0"/>
    </xf>
    <xf numFmtId="164" fontId="1" fillId="2" borderId="0" xfId="1" applyNumberFormat="1" applyBorder="1" applyAlignment="1" applyProtection="1">
      <alignment horizontal="center" vertical="center"/>
      <protection locked="0"/>
    </xf>
    <xf numFmtId="164" fontId="1" fillId="2" borderId="5" xfId="1" applyNumberFormat="1" applyBorder="1" applyAlignment="1" applyProtection="1">
      <alignment horizontal="center" vertical="center"/>
      <protection locked="0"/>
    </xf>
    <xf numFmtId="1" fontId="4" fillId="3" borderId="11" xfId="2" applyNumberFormat="1" applyBorder="1" applyAlignment="1" applyProtection="1">
      <alignment horizontal="center" vertical="center"/>
    </xf>
    <xf numFmtId="1" fontId="4" fillId="3" borderId="0" xfId="2" applyNumberFormat="1" applyBorder="1" applyAlignment="1" applyProtection="1">
      <alignment horizontal="center" vertical="center"/>
    </xf>
    <xf numFmtId="1" fontId="4" fillId="3" borderId="5" xfId="2" applyNumberFormat="1" applyBorder="1" applyAlignment="1" applyProtection="1">
      <alignment horizontal="center" vertical="center"/>
    </xf>
    <xf numFmtId="0" fontId="0" fillId="0" borderId="1" xfId="0" applyBorder="1" applyAlignment="1" applyProtection="1">
      <alignment horizontal="center"/>
    </xf>
    <xf numFmtId="0" fontId="0" fillId="0" borderId="9" xfId="0" applyBorder="1" applyAlignment="1" applyProtection="1">
      <alignment horizontal="center"/>
    </xf>
    <xf numFmtId="164" fontId="4" fillId="3" borderId="1" xfId="2" applyNumberFormat="1" applyBorder="1" applyAlignment="1" applyProtection="1">
      <alignment horizontal="center"/>
    </xf>
    <xf numFmtId="164" fontId="4" fillId="3" borderId="4" xfId="2" applyNumberFormat="1" applyBorder="1" applyAlignment="1" applyProtection="1">
      <alignment horizontal="center"/>
    </xf>
    <xf numFmtId="49" fontId="0" fillId="0" borderId="9" xfId="0" applyNumberFormat="1" applyBorder="1"/>
    <xf numFmtId="49" fontId="0" fillId="0" borderId="11" xfId="0" applyNumberFormat="1" applyBorder="1"/>
    <xf numFmtId="49" fontId="0" fillId="0" borderId="10" xfId="0" applyNumberFormat="1" applyBorder="1"/>
    <xf numFmtId="49" fontId="0" fillId="0" borderId="6" xfId="0" applyNumberFormat="1" applyBorder="1"/>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3" xfId="0" applyFont="1" applyBorder="1" applyProtection="1"/>
    <xf numFmtId="0" fontId="2" fillId="0" borderId="6" xfId="0" applyFont="1" applyBorder="1" applyAlignment="1" applyProtection="1">
      <alignment horizontal="center"/>
    </xf>
    <xf numFmtId="0" fontId="2" fillId="0" borderId="8" xfId="0" applyFont="1" applyBorder="1" applyAlignment="1" applyProtection="1">
      <alignment horizontal="center"/>
    </xf>
    <xf numFmtId="0" fontId="0" fillId="0" borderId="1"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15" fillId="0" borderId="6" xfId="0" applyFont="1" applyBorder="1" applyAlignment="1">
      <alignment horizontal="center"/>
    </xf>
    <xf numFmtId="0" fontId="0" fillId="0" borderId="1" xfId="0" applyFont="1" applyBorder="1" applyAlignment="1">
      <alignment horizontal="left"/>
    </xf>
    <xf numFmtId="0" fontId="1" fillId="2" borderId="3" xfId="1" applyBorder="1" applyProtection="1"/>
    <xf numFmtId="0" fontId="2" fillId="0" borderId="0" xfId="0" applyFont="1" applyBorder="1" applyProtection="1"/>
    <xf numFmtId="0" fontId="14" fillId="0" borderId="0" xfId="4" applyBorder="1" applyProtection="1"/>
    <xf numFmtId="0" fontId="0" fillId="0" borderId="5" xfId="0" applyBorder="1" applyProtection="1"/>
    <xf numFmtId="49" fontId="0" fillId="0" borderId="6" xfId="0" applyNumberFormat="1" applyBorder="1" applyAlignment="1" applyProtection="1"/>
    <xf numFmtId="0" fontId="0" fillId="0" borderId="2" xfId="0" applyBorder="1" applyAlignment="1" applyProtection="1">
      <alignment horizontal="center"/>
    </xf>
    <xf numFmtId="0" fontId="0" fillId="0" borderId="0" xfId="0" applyBorder="1" applyAlignment="1" applyProtection="1">
      <alignment horizontal="center"/>
    </xf>
    <xf numFmtId="0" fontId="1" fillId="2" borderId="5" xfId="1" applyBorder="1" applyAlignment="1" applyProtection="1">
      <alignment horizontal="center"/>
      <protection locked="0"/>
    </xf>
    <xf numFmtId="0" fontId="0" fillId="0" borderId="0" xfId="0" applyFill="1" applyBorder="1" applyAlignment="1" applyProtection="1">
      <alignment horizontal="center"/>
    </xf>
    <xf numFmtId="9" fontId="0" fillId="0" borderId="7" xfId="0" applyNumberFormat="1" applyBorder="1" applyAlignment="1" applyProtection="1">
      <alignment horizontal="center"/>
    </xf>
    <xf numFmtId="0" fontId="0" fillId="0" borderId="5" xfId="0" applyBorder="1" applyAlignment="1" applyProtection="1">
      <alignment horizontal="center"/>
    </xf>
    <xf numFmtId="17" fontId="0" fillId="0" borderId="0" xfId="0" applyNumberFormat="1"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49" fontId="0" fillId="0" borderId="0" xfId="0" applyNumberFormat="1" applyBorder="1" applyAlignment="1" applyProtection="1">
      <alignment horizontal="center" wrapText="1"/>
    </xf>
    <xf numFmtId="49" fontId="1" fillId="2" borderId="5" xfId="1" applyNumberFormat="1" applyBorder="1" applyAlignment="1" applyProtection="1">
      <alignment horizontal="center" wrapText="1"/>
      <protection locked="0"/>
    </xf>
    <xf numFmtId="0" fontId="1" fillId="2" borderId="8" xfId="1" applyBorder="1" applyAlignment="1" applyProtection="1">
      <alignment horizontal="center"/>
      <protection locked="0"/>
    </xf>
    <xf numFmtId="49" fontId="0" fillId="0" borderId="0" xfId="0" applyNumberFormat="1" applyBorder="1" applyAlignment="1" applyProtection="1">
      <alignment horizontal="center" vertical="top" wrapText="1"/>
    </xf>
    <xf numFmtId="0" fontId="0" fillId="0" borderId="0" xfId="0" applyFont="1" applyBorder="1" applyAlignment="1" applyProtection="1">
      <alignment horizontal="center"/>
    </xf>
    <xf numFmtId="0" fontId="0" fillId="0" borderId="5" xfId="0" applyFont="1" applyBorder="1" applyAlignment="1" applyProtection="1">
      <alignment horizontal="center"/>
    </xf>
    <xf numFmtId="0" fontId="0" fillId="0" borderId="7" xfId="0" applyFont="1" applyBorder="1" applyAlignment="1" applyProtection="1">
      <alignment horizontal="center"/>
    </xf>
    <xf numFmtId="0" fontId="0" fillId="0" borderId="8" xfId="0" applyFont="1" applyBorder="1" applyAlignment="1" applyProtection="1">
      <alignment horizontal="center"/>
    </xf>
    <xf numFmtId="0" fontId="0" fillId="0" borderId="7" xfId="0" applyFont="1" applyBorder="1" applyAlignment="1" applyProtection="1">
      <alignment horizontal="left" vertical="center"/>
    </xf>
    <xf numFmtId="0" fontId="6" fillId="4" borderId="4" xfId="3" applyBorder="1" applyProtection="1"/>
    <xf numFmtId="164" fontId="6" fillId="4" borderId="11" xfId="3" applyNumberFormat="1" applyBorder="1" applyAlignment="1" applyProtection="1">
      <alignment horizontal="center" vertical="center"/>
    </xf>
    <xf numFmtId="164" fontId="6" fillId="4" borderId="0" xfId="3" applyNumberFormat="1" applyBorder="1" applyAlignment="1" applyProtection="1">
      <alignment horizontal="center" vertical="center"/>
    </xf>
    <xf numFmtId="164" fontId="6" fillId="4" borderId="5" xfId="3" applyNumberFormat="1" applyBorder="1" applyAlignment="1" applyProtection="1">
      <alignment horizontal="center" vertical="center"/>
    </xf>
    <xf numFmtId="1" fontId="0" fillId="0" borderId="2" xfId="0" applyNumberFormat="1" applyBorder="1" applyAlignment="1" applyProtection="1">
      <alignment horizontal="center" vertical="center"/>
    </xf>
    <xf numFmtId="1" fontId="0" fillId="0" borderId="3" xfId="0" applyNumberFormat="1" applyBorder="1" applyAlignment="1" applyProtection="1">
      <alignment horizontal="center" vertical="center"/>
    </xf>
    <xf numFmtId="1" fontId="0" fillId="0" borderId="9" xfId="0" applyNumberFormat="1" applyBorder="1" applyAlignment="1" applyProtection="1">
      <alignment horizontal="center" vertical="center"/>
    </xf>
    <xf numFmtId="10" fontId="4" fillId="3" borderId="10" xfId="2" applyNumberFormat="1" applyBorder="1" applyAlignment="1" applyProtection="1">
      <alignment horizontal="center"/>
    </xf>
    <xf numFmtId="166" fontId="4" fillId="3" borderId="7" xfId="2" applyNumberFormat="1" applyBorder="1" applyAlignment="1" applyProtection="1">
      <alignment horizontal="center"/>
    </xf>
    <xf numFmtId="166" fontId="4" fillId="3" borderId="10" xfId="2" applyNumberFormat="1" applyBorder="1" applyAlignment="1" applyProtection="1">
      <alignment horizontal="center"/>
    </xf>
    <xf numFmtId="166" fontId="4" fillId="3" borderId="8" xfId="2" applyNumberFormat="1" applyBorder="1" applyAlignment="1" applyProtection="1">
      <alignment horizontal="center"/>
    </xf>
    <xf numFmtId="49" fontId="7" fillId="3" borderId="12" xfId="2" applyNumberFormat="1" applyFont="1" applyBorder="1" applyProtection="1"/>
    <xf numFmtId="164" fontId="7" fillId="3" borderId="12" xfId="2" applyNumberFormat="1" applyFont="1" applyBorder="1" applyAlignment="1" applyProtection="1">
      <alignment horizontal="center"/>
    </xf>
    <xf numFmtId="0" fontId="1" fillId="2" borderId="2" xfId="1" applyBorder="1" applyProtection="1"/>
    <xf numFmtId="49" fontId="2" fillId="0" borderId="2" xfId="0" applyNumberFormat="1" applyFont="1" applyBorder="1" applyProtection="1"/>
    <xf numFmtId="0" fontId="2" fillId="0" borderId="0"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0" fillId="0" borderId="11" xfId="0" applyBorder="1" applyAlignment="1" applyProtection="1">
      <alignment horizontal="center"/>
    </xf>
    <xf numFmtId="0" fontId="1" fillId="2" borderId="11" xfId="1" applyBorder="1" applyAlignment="1" applyProtection="1">
      <alignment horizontal="center"/>
      <protection locked="0"/>
    </xf>
    <xf numFmtId="0" fontId="6" fillId="4" borderId="10" xfId="3" applyBorder="1" applyAlignment="1" applyProtection="1">
      <alignment horizontal="center"/>
    </xf>
    <xf numFmtId="167" fontId="4" fillId="3" borderId="9" xfId="2" applyNumberFormat="1" applyBorder="1" applyAlignment="1" applyProtection="1">
      <alignment horizontal="center"/>
    </xf>
    <xf numFmtId="167" fontId="4" fillId="3" borderId="11" xfId="2" applyNumberFormat="1" applyBorder="1" applyAlignment="1" applyProtection="1">
      <alignment horizontal="center"/>
    </xf>
    <xf numFmtId="167" fontId="7" fillId="3" borderId="14" xfId="2" applyNumberFormat="1" applyFont="1" applyBorder="1" applyAlignment="1" applyProtection="1">
      <alignment horizontal="center"/>
    </xf>
    <xf numFmtId="2" fontId="4" fillId="3" borderId="11" xfId="2" applyNumberFormat="1" applyBorder="1" applyAlignment="1" applyProtection="1">
      <alignment horizontal="center" vertical="center"/>
    </xf>
    <xf numFmtId="2" fontId="4" fillId="3" borderId="0" xfId="2" applyNumberFormat="1" applyBorder="1" applyAlignment="1" applyProtection="1">
      <alignment horizontal="center" vertical="center"/>
    </xf>
    <xf numFmtId="2" fontId="4" fillId="3" borderId="5" xfId="2" applyNumberFormat="1" applyBorder="1" applyAlignment="1" applyProtection="1">
      <alignment horizontal="center" vertical="center"/>
    </xf>
    <xf numFmtId="9" fontId="0" fillId="0" borderId="0" xfId="0" applyNumberFormat="1" applyBorder="1" applyAlignment="1" applyProtection="1">
      <alignment horizontal="center"/>
    </xf>
    <xf numFmtId="164" fontId="0" fillId="0" borderId="0" xfId="0" applyNumberFormat="1" applyAlignment="1" applyProtection="1">
      <alignment horizontal="center"/>
    </xf>
    <xf numFmtId="2" fontId="0" fillId="0" borderId="0" xfId="0" applyNumberFormat="1" applyBorder="1" applyAlignment="1" applyProtection="1">
      <alignment horizontal="center"/>
    </xf>
    <xf numFmtId="164" fontId="0" fillId="0" borderId="0" xfId="0" applyNumberFormat="1" applyBorder="1" applyAlignment="1" applyProtection="1">
      <alignment horizontal="center"/>
    </xf>
    <xf numFmtId="1" fontId="0" fillId="0" borderId="0" xfId="0" applyNumberFormat="1" applyBorder="1" applyAlignment="1" applyProtection="1">
      <alignment horizontal="center"/>
    </xf>
    <xf numFmtId="1" fontId="0" fillId="0" borderId="0" xfId="0" applyNumberFormat="1" applyAlignment="1" applyProtection="1">
      <alignment horizontal="center"/>
    </xf>
    <xf numFmtId="9" fontId="0" fillId="0" borderId="0" xfId="0" applyNumberFormat="1" applyFill="1" applyBorder="1" applyAlignment="1" applyProtection="1">
      <alignment horizontal="center"/>
    </xf>
    <xf numFmtId="164" fontId="0" fillId="0" borderId="0" xfId="0" applyNumberFormat="1" applyFill="1" applyBorder="1" applyAlignment="1" applyProtection="1">
      <alignment horizontal="center"/>
    </xf>
    <xf numFmtId="164" fontId="0" fillId="0" borderId="0" xfId="0" applyNumberFormat="1" applyFill="1" applyAlignment="1" applyProtection="1">
      <alignment horizontal="center"/>
    </xf>
    <xf numFmtId="165" fontId="0" fillId="0" borderId="0" xfId="0" applyNumberFormat="1" applyFill="1" applyAlignment="1" applyProtection="1">
      <alignment horizontal="center"/>
    </xf>
    <xf numFmtId="0" fontId="18" fillId="0" borderId="0" xfId="0" applyFont="1" applyProtection="1"/>
    <xf numFmtId="1" fontId="18" fillId="0" borderId="0" xfId="0" applyNumberFormat="1" applyFont="1" applyAlignment="1" applyProtection="1">
      <alignment horizontal="center"/>
    </xf>
    <xf numFmtId="164" fontId="18" fillId="0" borderId="0" xfId="0" applyNumberFormat="1" applyFont="1" applyAlignment="1" applyProtection="1">
      <alignment horizontal="center"/>
    </xf>
    <xf numFmtId="1" fontId="0" fillId="0" borderId="0" xfId="0" applyNumberFormat="1" applyFill="1" applyAlignment="1" applyProtection="1">
      <alignment horizontal="center"/>
    </xf>
    <xf numFmtId="1" fontId="0" fillId="0" borderId="0" xfId="0" applyNumberFormat="1" applyFill="1" applyBorder="1" applyAlignment="1" applyProtection="1">
      <alignment horizontal="center"/>
    </xf>
    <xf numFmtId="0" fontId="1" fillId="2" borderId="3" xfId="1" applyBorder="1" applyAlignment="1" applyProtection="1">
      <alignment horizontal="center"/>
      <protection locked="0"/>
    </xf>
    <xf numFmtId="9" fontId="1" fillId="2" borderId="8" xfId="1" applyNumberFormat="1" applyBorder="1" applyAlignment="1" applyProtection="1">
      <alignment horizontal="center"/>
      <protection locked="0"/>
    </xf>
  </cellXfs>
  <cellStyles count="5">
    <cellStyle name="Bad" xfId="2" builtinId="27"/>
    <cellStyle name="Good" xfId="1" builtinId="26"/>
    <cellStyle name="Hyperlink" xfId="4" builtinId="8"/>
    <cellStyle name="Neutral" xfId="3" builtinId="28"/>
    <cellStyle name="Normal" xfId="0" builtinId="0"/>
  </cellStyles>
  <dxfs count="4">
    <dxf>
      <font>
        <color auto="1"/>
      </font>
      <fill>
        <patternFill>
          <bgColor theme="4" tint="0.39994506668294322"/>
        </patternFill>
      </fill>
    </dxf>
    <dxf>
      <fill>
        <patternFill>
          <bgColor rgb="FFFF0000"/>
        </patternFill>
      </fill>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9524</xdr:rowOff>
    </xdr:from>
    <xdr:to>
      <xdr:col>9</xdr:col>
      <xdr:colOff>9525</xdr:colOff>
      <xdr:row>63</xdr:row>
      <xdr:rowOff>171450</xdr:rowOff>
    </xdr:to>
    <xdr:sp macro="" textlink="">
      <xdr:nvSpPr>
        <xdr:cNvPr id="2" name="TextBox 1">
          <a:extLst>
            <a:ext uri="{FF2B5EF4-FFF2-40B4-BE49-F238E27FC236}">
              <a16:creationId xmlns:a16="http://schemas.microsoft.com/office/drawing/2014/main" id="{1B8D333E-D440-41F9-B853-3D8E12EC5FC6}"/>
            </a:ext>
          </a:extLst>
        </xdr:cNvPr>
        <xdr:cNvSpPr txBox="1"/>
      </xdr:nvSpPr>
      <xdr:spPr>
        <a:xfrm>
          <a:off x="19050" y="9524"/>
          <a:ext cx="5476875" cy="12163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Use of the ADD calculation spreadsheet “ADD sound zones v2.4”</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Separate calculations should be done for each cage group. Detailed instructions are given in the "Cage group calculation" sheet. A table of the calculated results is provided in the “Output summary” sheet. This can be printed or copied and saved.  New ADD devices can be added to the spreadsheet and new cage group location details can be defined in the “Source data” sheet. Most cells in the spreadsheet are locked to prevent accidental modification. </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Area of potential disturbance:  </a:t>
          </a:r>
          <a:r>
            <a:rPr lang="en-GB" sz="1100">
              <a:solidFill>
                <a:schemeClr val="dk1"/>
              </a:solidFill>
              <a:effectLst/>
              <a:latin typeface="+mn-lt"/>
              <a:ea typeface="+mn-ea"/>
              <a:cs typeface="+mn-cs"/>
            </a:rPr>
            <a:t>Since disturbance relates to the audibility of ADDs, the spreadsheet takes the loudest device on the site and determines the 120dB threshold radius of that device. Some manufacturers are considering allowing their units to be synchronised in which case the total of all the synchronised devices is used.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disturbance threshold radius is likely to be several kilometres and so may overlap with those of other cage groups. In this case the threshold radii centred on the centre of each cage group should be drawn on a map and the total area within the envelope calculated. Areas of land and should be removed from the total area. Sound shadows caused by the coast or islands (but not small rocky outcrops) can be removed from the area. Areas affected by two cage groups do not need to be double counted. The resulting total area should be used to calculate the number of mammals affected.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By coordinating applications</a:t>
          </a:r>
          <a:r>
            <a:rPr lang="en-GB" sz="1100" baseline="0">
              <a:solidFill>
                <a:schemeClr val="dk1"/>
              </a:solidFill>
              <a:effectLst/>
              <a:latin typeface="+mn-lt"/>
              <a:ea typeface="+mn-ea"/>
              <a:cs typeface="+mn-cs"/>
            </a:rPr>
            <a:t> with neighboring cage group owners as recomended by Marine Scotland, any overlapping areas of disturbance can be  removed. This will  reduce the overall calculated impact of ADDs on animals in the zone. I am told that decisions on the acceptability of disturbance will be made on a zonal basis.</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Area of potential PTS injury: </a:t>
          </a:r>
          <a:r>
            <a:rPr lang="en-GB" sz="1100">
              <a:solidFill>
                <a:schemeClr val="dk1"/>
              </a:solidFill>
              <a:effectLst/>
              <a:latin typeface="+mn-lt"/>
              <a:ea typeface="+mn-ea"/>
              <a:cs typeface="+mn-cs"/>
            </a:rPr>
            <a:t>For this calculation the spreadsheet adds together the sound energy of all the devices on a cage group and ascribes it to a point at the centre of the cage group. A single PTS threshold radius is calculated for the cage group. Any areas of land or shadow zones within this area can be discounted but if there are areas of overlap with other cage groups, these areas should not be discounted.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this spread sheet the devices are combined rather than calculated individually. This is most  appropriate approach where the threshold radii are similar to, or larger than, the separation  are the devices. Where threshold radii are smaller than the device separations, then consideration of the devices as seperate units could be justified. This results in a slightly smaller area</a:t>
          </a:r>
          <a:r>
            <a:rPr lang="en-GB" sz="1100" baseline="0">
              <a:solidFill>
                <a:schemeClr val="dk1"/>
              </a:solidFill>
              <a:effectLst/>
              <a:latin typeface="+mn-lt"/>
              <a:ea typeface="+mn-ea"/>
              <a:cs typeface="+mn-cs"/>
            </a:rPr>
            <a:t> of effect however it is significantly more work, the difference in total area is likely to be only a few percent and where these </a:t>
          </a:r>
          <a:r>
            <a:rPr lang="en-GB" sz="1100">
              <a:solidFill>
                <a:schemeClr val="dk1"/>
              </a:solidFill>
              <a:effectLst/>
              <a:latin typeface="+mn-lt"/>
              <a:ea typeface="+mn-ea"/>
              <a:cs typeface="+mn-cs"/>
            </a:rPr>
            <a:t>areas are small, the importance of the result is relatively low.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a:t>
          </a:r>
          <a:r>
            <a:rPr lang="en-GB" sz="1100" baseline="0">
              <a:solidFill>
                <a:schemeClr val="dk1"/>
              </a:solidFill>
              <a:effectLst/>
              <a:latin typeface="+mn-lt"/>
              <a:ea typeface="+mn-ea"/>
              <a:cs typeface="+mn-cs"/>
            </a:rPr>
            <a:t> area of potential injury calculation assumes a worst case senario with the devices being used for 24 hours per day. If potential PTS injury is a significant problem for a cage group and 24 hour operation is never used then this can be modified for you. </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Submissions:</a:t>
          </a:r>
        </a:p>
        <a:p>
          <a:r>
            <a:rPr lang="en-GB" sz="1100" baseline="0">
              <a:solidFill>
                <a:schemeClr val="dk1"/>
              </a:solidFill>
              <a:effectLst/>
              <a:latin typeface="+mn-lt"/>
              <a:ea typeface="+mn-ea"/>
              <a:cs typeface="+mn-cs"/>
            </a:rPr>
            <a:t>EPS applictions should probably be acompanied by a copy of this spread sheet in order to meet the requirement that methodology is clearly identified.  </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Comparison with use of the Maine Scotland tables: </a:t>
          </a:r>
          <a:r>
            <a:rPr lang="en-GB" sz="1100">
              <a:solidFill>
                <a:schemeClr val="dk1"/>
              </a:solidFill>
              <a:effectLst/>
              <a:latin typeface="+mn-lt"/>
              <a:ea typeface="+mn-ea"/>
              <a:cs typeface="+mn-cs"/>
            </a:rPr>
            <a:t>Marine Scotland have seen and confirmed the calculations of this spread sheet. However Marine Scotland also provide a table of threshold radii for single notional ADD devices which you are permitted to use. The areas of potential PTS injury resulting from data in the current version of this document (December 2020 version 4) differ from the spread sheet calculations for reasons that are unclear. I</a:t>
          </a:r>
          <a:r>
            <a:rPr lang="en-GB" sz="1100" baseline="0">
              <a:solidFill>
                <a:schemeClr val="dk1"/>
              </a:solidFill>
              <a:effectLst/>
              <a:latin typeface="+mn-lt"/>
              <a:ea typeface="+mn-ea"/>
              <a:cs typeface="+mn-cs"/>
            </a:rPr>
            <a:t> am not aware of any device that resembles ADD1</a:t>
          </a:r>
          <a:r>
            <a:rPr lang="en-GB" sz="1100">
              <a:solidFill>
                <a:schemeClr val="dk1"/>
              </a:solidFill>
              <a:effectLst/>
              <a:latin typeface="+mn-lt"/>
              <a:ea typeface="+mn-ea"/>
              <a:cs typeface="+mn-cs"/>
            </a:rPr>
            <a:t> (195dB), but if you have such a unit then use of the Marine Scotland figures would be advantagious for the PTS calculation. The table below shows the PTS threshold areas calculated from the Marine Scotland table as a percentage of those areas calculated by this spreadsheet.</a:t>
          </a: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endParaRPr lang="en-GB" sz="1100"/>
        </a:p>
      </xdr:txBody>
    </xdr:sp>
    <xdr:clientData/>
  </xdr:twoCellAnchor>
  <xdr:twoCellAnchor editAs="oneCell">
    <xdr:from>
      <xdr:col>0</xdr:col>
      <xdr:colOff>142874</xdr:colOff>
      <xdr:row>52</xdr:row>
      <xdr:rowOff>104774</xdr:rowOff>
    </xdr:from>
    <xdr:to>
      <xdr:col>5</xdr:col>
      <xdr:colOff>504825</xdr:colOff>
      <xdr:row>61</xdr:row>
      <xdr:rowOff>9525</xdr:rowOff>
    </xdr:to>
    <xdr:pic>
      <xdr:nvPicPr>
        <xdr:cNvPr id="3" name="Picture 2">
          <a:extLst>
            <a:ext uri="{FF2B5EF4-FFF2-40B4-BE49-F238E27FC236}">
              <a16:creationId xmlns:a16="http://schemas.microsoft.com/office/drawing/2014/main" id="{12436183-33E0-4C58-BC15-377FBDD88E2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8691" b="12341"/>
        <a:stretch/>
      </xdr:blipFill>
      <xdr:spPr bwMode="auto">
        <a:xfrm>
          <a:off x="142874" y="10010774"/>
          <a:ext cx="3409951" cy="161925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5824</xdr:colOff>
      <xdr:row>1</xdr:row>
      <xdr:rowOff>123824</xdr:rowOff>
    </xdr:from>
    <xdr:to>
      <xdr:col>12</xdr:col>
      <xdr:colOff>336200</xdr:colOff>
      <xdr:row>20</xdr:row>
      <xdr:rowOff>133349</xdr:rowOff>
    </xdr:to>
    <xdr:pic>
      <xdr:nvPicPr>
        <xdr:cNvPr id="2" name="Picture 1">
          <a:extLst>
            <a:ext uri="{FF2B5EF4-FFF2-40B4-BE49-F238E27FC236}">
              <a16:creationId xmlns:a16="http://schemas.microsoft.com/office/drawing/2014/main" id="{FE5459C1-E840-49E3-88D1-0C85154B489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6336" t="24817" r="31746" b="51617"/>
        <a:stretch/>
      </xdr:blipFill>
      <xdr:spPr bwMode="auto">
        <a:xfrm>
          <a:off x="9035524" y="361949"/>
          <a:ext cx="2873551" cy="370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904875</xdr:colOff>
      <xdr:row>24</xdr:row>
      <xdr:rowOff>13447</xdr:rowOff>
    </xdr:from>
    <xdr:to>
      <xdr:col>15</xdr:col>
      <xdr:colOff>542925</xdr:colOff>
      <xdr:row>44</xdr:row>
      <xdr:rowOff>196103</xdr:rowOff>
    </xdr:to>
    <xdr:grpSp>
      <xdr:nvGrpSpPr>
        <xdr:cNvPr id="3" name="Group 2">
          <a:extLst>
            <a:ext uri="{FF2B5EF4-FFF2-40B4-BE49-F238E27FC236}">
              <a16:creationId xmlns:a16="http://schemas.microsoft.com/office/drawing/2014/main" id="{0E553151-1604-41E6-B855-CF3082E1F291}"/>
            </a:ext>
          </a:extLst>
        </xdr:cNvPr>
        <xdr:cNvGrpSpPr/>
      </xdr:nvGrpSpPr>
      <xdr:grpSpPr>
        <a:xfrm>
          <a:off x="10198287" y="4884271"/>
          <a:ext cx="6510991" cy="4112185"/>
          <a:chOff x="27161" y="258024"/>
          <a:chExt cx="3766241" cy="2711513"/>
        </a:xfrm>
      </xdr:grpSpPr>
      <xdr:pic>
        <xdr:nvPicPr>
          <xdr:cNvPr id="4" name="Picture 3">
            <a:extLst>
              <a:ext uri="{FF2B5EF4-FFF2-40B4-BE49-F238E27FC236}">
                <a16:creationId xmlns:a16="http://schemas.microsoft.com/office/drawing/2014/main" id="{5DEFA320-F80C-4FB3-8BDC-7AC13647DB49}"/>
              </a:ext>
            </a:extLst>
          </xdr:cNvPr>
          <xdr:cNvPicPr>
            <a:picLocks noChangeAspect="1"/>
          </xdr:cNvPicPr>
        </xdr:nvPicPr>
        <xdr:blipFill rotWithShape="1">
          <a:blip xmlns:r="http://schemas.openxmlformats.org/officeDocument/2006/relationships" r:embed="rId2"/>
          <a:srcRect t="8062" r="18803" b="7214"/>
          <a:stretch/>
        </xdr:blipFill>
        <xdr:spPr>
          <a:xfrm>
            <a:off x="27161" y="258024"/>
            <a:ext cx="3766241" cy="2711513"/>
          </a:xfrm>
          <a:prstGeom prst="rect">
            <a:avLst/>
          </a:prstGeom>
        </xdr:spPr>
      </xdr:pic>
      <xdr:sp macro="" textlink="">
        <xdr:nvSpPr>
          <xdr:cNvPr id="5" name="Freeform: Shape 4">
            <a:extLst>
              <a:ext uri="{FF2B5EF4-FFF2-40B4-BE49-F238E27FC236}">
                <a16:creationId xmlns:a16="http://schemas.microsoft.com/office/drawing/2014/main" id="{30534F15-12BB-4005-B107-2D84A63E8612}"/>
              </a:ext>
            </a:extLst>
          </xdr:cNvPr>
          <xdr:cNvSpPr/>
        </xdr:nvSpPr>
        <xdr:spPr>
          <a:xfrm>
            <a:off x="493414" y="321398"/>
            <a:ext cx="2865422" cy="1353493"/>
          </a:xfrm>
          <a:custGeom>
            <a:avLst/>
            <a:gdLst>
              <a:gd name="connsiteX0" fmla="*/ 2104931 w 2865422"/>
              <a:gd name="connsiteY0" fmla="*/ 1032095 h 1353493"/>
              <a:gd name="connsiteX1" fmla="*/ 2783940 w 2865422"/>
              <a:gd name="connsiteY1" fmla="*/ 1353493 h 1353493"/>
              <a:gd name="connsiteX2" fmla="*/ 2820154 w 2865422"/>
              <a:gd name="connsiteY2" fmla="*/ 1262958 h 1353493"/>
              <a:gd name="connsiteX3" fmla="*/ 2842788 w 2865422"/>
              <a:gd name="connsiteY3" fmla="*/ 1172424 h 1353493"/>
              <a:gd name="connsiteX4" fmla="*/ 2860895 w 2865422"/>
              <a:gd name="connsiteY4" fmla="*/ 1077362 h 1353493"/>
              <a:gd name="connsiteX5" fmla="*/ 2865422 w 2865422"/>
              <a:gd name="connsiteY5" fmla="*/ 964194 h 1353493"/>
              <a:gd name="connsiteX6" fmla="*/ 2851841 w 2865422"/>
              <a:gd name="connsiteY6" fmla="*/ 837445 h 1353493"/>
              <a:gd name="connsiteX7" fmla="*/ 2824681 w 2865422"/>
              <a:gd name="connsiteY7" fmla="*/ 715224 h 1353493"/>
              <a:gd name="connsiteX8" fmla="*/ 2783940 w 2865422"/>
              <a:gd name="connsiteY8" fmla="*/ 588475 h 1353493"/>
              <a:gd name="connsiteX9" fmla="*/ 2725093 w 2865422"/>
              <a:gd name="connsiteY9" fmla="*/ 493414 h 1353493"/>
              <a:gd name="connsiteX10" fmla="*/ 2670772 w 2865422"/>
              <a:gd name="connsiteY10" fmla="*/ 398352 h 1353493"/>
              <a:gd name="connsiteX11" fmla="*/ 2611925 w 2865422"/>
              <a:gd name="connsiteY11" fmla="*/ 325925 h 1353493"/>
              <a:gd name="connsiteX12" fmla="*/ 2503283 w 2865422"/>
              <a:gd name="connsiteY12" fmla="*/ 230863 h 1353493"/>
              <a:gd name="connsiteX13" fmla="*/ 2394641 w 2865422"/>
              <a:gd name="connsiteY13" fmla="*/ 153909 h 1353493"/>
              <a:gd name="connsiteX14" fmla="*/ 2299580 w 2865422"/>
              <a:gd name="connsiteY14" fmla="*/ 95061 h 1353493"/>
              <a:gd name="connsiteX15" fmla="*/ 2209045 w 2865422"/>
              <a:gd name="connsiteY15" fmla="*/ 63374 h 1353493"/>
              <a:gd name="connsiteX16" fmla="*/ 2082297 w 2865422"/>
              <a:gd name="connsiteY16" fmla="*/ 18107 h 1353493"/>
              <a:gd name="connsiteX17" fmla="*/ 1973655 w 2865422"/>
              <a:gd name="connsiteY17" fmla="*/ 4527 h 1353493"/>
              <a:gd name="connsiteX18" fmla="*/ 1842380 w 2865422"/>
              <a:gd name="connsiteY18" fmla="*/ 0 h 1353493"/>
              <a:gd name="connsiteX19" fmla="*/ 1742792 w 2865422"/>
              <a:gd name="connsiteY19" fmla="*/ 9053 h 1353493"/>
              <a:gd name="connsiteX20" fmla="*/ 1647731 w 2865422"/>
              <a:gd name="connsiteY20" fmla="*/ 22634 h 1353493"/>
              <a:gd name="connsiteX21" fmla="*/ 1543616 w 2865422"/>
              <a:gd name="connsiteY21" fmla="*/ 54321 h 1353493"/>
              <a:gd name="connsiteX22" fmla="*/ 1444028 w 2865422"/>
              <a:gd name="connsiteY22" fmla="*/ 90535 h 1353493"/>
              <a:gd name="connsiteX23" fmla="*/ 1362546 w 2865422"/>
              <a:gd name="connsiteY23" fmla="*/ 135802 h 1353493"/>
              <a:gd name="connsiteX24" fmla="*/ 1267485 w 2865422"/>
              <a:gd name="connsiteY24" fmla="*/ 185596 h 1353493"/>
              <a:gd name="connsiteX25" fmla="*/ 1217691 w 2865422"/>
              <a:gd name="connsiteY25" fmla="*/ 230863 h 1353493"/>
              <a:gd name="connsiteX26" fmla="*/ 1149790 w 2865422"/>
              <a:gd name="connsiteY26" fmla="*/ 298764 h 1353493"/>
              <a:gd name="connsiteX27" fmla="*/ 1072836 w 2865422"/>
              <a:gd name="connsiteY27" fmla="*/ 253497 h 1353493"/>
              <a:gd name="connsiteX28" fmla="*/ 959667 w 2865422"/>
              <a:gd name="connsiteY28" fmla="*/ 199176 h 1353493"/>
              <a:gd name="connsiteX29" fmla="*/ 846499 w 2865422"/>
              <a:gd name="connsiteY29" fmla="*/ 172016 h 1353493"/>
              <a:gd name="connsiteX30" fmla="*/ 737857 w 2865422"/>
              <a:gd name="connsiteY30" fmla="*/ 153909 h 1353493"/>
              <a:gd name="connsiteX31" fmla="*/ 606582 w 2865422"/>
              <a:gd name="connsiteY31" fmla="*/ 172016 h 1353493"/>
              <a:gd name="connsiteX32" fmla="*/ 425513 w 2865422"/>
              <a:gd name="connsiteY32" fmla="*/ 221810 h 1353493"/>
              <a:gd name="connsiteX33" fmla="*/ 294237 w 2865422"/>
              <a:gd name="connsiteY33" fmla="*/ 298764 h 1353493"/>
              <a:gd name="connsiteX34" fmla="*/ 203703 w 2865422"/>
              <a:gd name="connsiteY34" fmla="*/ 375719 h 1353493"/>
              <a:gd name="connsiteX35" fmla="*/ 149382 w 2865422"/>
              <a:gd name="connsiteY35" fmla="*/ 439093 h 1353493"/>
              <a:gd name="connsiteX36" fmla="*/ 99588 w 2865422"/>
              <a:gd name="connsiteY36" fmla="*/ 516047 h 1353493"/>
              <a:gd name="connsiteX37" fmla="*/ 72428 w 2865422"/>
              <a:gd name="connsiteY37" fmla="*/ 574895 h 1353493"/>
              <a:gd name="connsiteX38" fmla="*/ 22634 w 2865422"/>
              <a:gd name="connsiteY38" fmla="*/ 683537 h 1353493"/>
              <a:gd name="connsiteX39" fmla="*/ 9053 w 2865422"/>
              <a:gd name="connsiteY39" fmla="*/ 787651 h 1353493"/>
              <a:gd name="connsiteX40" fmla="*/ 0 w 2865422"/>
              <a:gd name="connsiteY40" fmla="*/ 864606 h 1353493"/>
              <a:gd name="connsiteX41" fmla="*/ 13580 w 2865422"/>
              <a:gd name="connsiteY41" fmla="*/ 955141 h 1353493"/>
              <a:gd name="connsiteX42" fmla="*/ 22634 w 2865422"/>
              <a:gd name="connsiteY42" fmla="*/ 1045675 h 1353493"/>
              <a:gd name="connsiteX43" fmla="*/ 49794 w 2865422"/>
              <a:gd name="connsiteY43" fmla="*/ 1127156 h 1353493"/>
              <a:gd name="connsiteX44" fmla="*/ 81481 w 2865422"/>
              <a:gd name="connsiteY44" fmla="*/ 1213164 h 1353493"/>
              <a:gd name="connsiteX45" fmla="*/ 113168 w 2865422"/>
              <a:gd name="connsiteY45" fmla="*/ 1267485 h 1353493"/>
              <a:gd name="connsiteX46" fmla="*/ 203703 w 2865422"/>
              <a:gd name="connsiteY46" fmla="*/ 1267485 h 1353493"/>
              <a:gd name="connsiteX47" fmla="*/ 253497 w 2865422"/>
              <a:gd name="connsiteY47" fmla="*/ 1249378 h 1353493"/>
              <a:gd name="connsiteX48" fmla="*/ 353085 w 2865422"/>
              <a:gd name="connsiteY48" fmla="*/ 1235798 h 1353493"/>
              <a:gd name="connsiteX49" fmla="*/ 411933 w 2865422"/>
              <a:gd name="connsiteY49" fmla="*/ 1217691 h 1353493"/>
              <a:gd name="connsiteX50" fmla="*/ 457200 w 2865422"/>
              <a:gd name="connsiteY50" fmla="*/ 1217691 h 1353493"/>
              <a:gd name="connsiteX51" fmla="*/ 502467 w 2865422"/>
              <a:gd name="connsiteY51" fmla="*/ 1217691 h 1353493"/>
              <a:gd name="connsiteX52" fmla="*/ 511521 w 2865422"/>
              <a:gd name="connsiteY52" fmla="*/ 1190531 h 1353493"/>
              <a:gd name="connsiteX53" fmla="*/ 574895 w 2865422"/>
              <a:gd name="connsiteY53" fmla="*/ 1190531 h 1353493"/>
              <a:gd name="connsiteX54" fmla="*/ 669956 w 2865422"/>
              <a:gd name="connsiteY54" fmla="*/ 1190531 h 1353493"/>
              <a:gd name="connsiteX55" fmla="*/ 755964 w 2865422"/>
              <a:gd name="connsiteY55" fmla="*/ 1213164 h 1353493"/>
              <a:gd name="connsiteX56" fmla="*/ 846499 w 2865422"/>
              <a:gd name="connsiteY56" fmla="*/ 1222218 h 1353493"/>
              <a:gd name="connsiteX57" fmla="*/ 964194 w 2865422"/>
              <a:gd name="connsiteY57" fmla="*/ 1208638 h 1353493"/>
              <a:gd name="connsiteX58" fmla="*/ 1023041 w 2865422"/>
              <a:gd name="connsiteY58" fmla="*/ 1208638 h 1353493"/>
              <a:gd name="connsiteX59" fmla="*/ 1113576 w 2865422"/>
              <a:gd name="connsiteY59" fmla="*/ 1208638 h 1353493"/>
              <a:gd name="connsiteX60" fmla="*/ 1113576 w 2865422"/>
              <a:gd name="connsiteY60" fmla="*/ 1176950 h 1353493"/>
              <a:gd name="connsiteX61" fmla="*/ 1131683 w 2865422"/>
              <a:gd name="connsiteY61" fmla="*/ 1154317 h 1353493"/>
              <a:gd name="connsiteX62" fmla="*/ 1217691 w 2865422"/>
              <a:gd name="connsiteY62" fmla="*/ 1149790 h 1353493"/>
              <a:gd name="connsiteX63" fmla="*/ 1290119 w 2865422"/>
              <a:gd name="connsiteY63" fmla="*/ 1122630 h 1353493"/>
              <a:gd name="connsiteX64" fmla="*/ 1348966 w 2865422"/>
              <a:gd name="connsiteY64" fmla="*/ 1186004 h 1353493"/>
              <a:gd name="connsiteX65" fmla="*/ 1348966 w 2865422"/>
              <a:gd name="connsiteY65" fmla="*/ 1186004 h 1353493"/>
              <a:gd name="connsiteX66" fmla="*/ 1412340 w 2865422"/>
              <a:gd name="connsiteY66" fmla="*/ 1158844 h 1353493"/>
              <a:gd name="connsiteX67" fmla="*/ 1462135 w 2865422"/>
              <a:gd name="connsiteY67" fmla="*/ 1140737 h 1353493"/>
              <a:gd name="connsiteX68" fmla="*/ 1507402 w 2865422"/>
              <a:gd name="connsiteY68" fmla="*/ 1145263 h 1353493"/>
              <a:gd name="connsiteX69" fmla="*/ 1534562 w 2865422"/>
              <a:gd name="connsiteY69" fmla="*/ 1127156 h 1353493"/>
              <a:gd name="connsiteX70" fmla="*/ 1584356 w 2865422"/>
              <a:gd name="connsiteY70" fmla="*/ 1109049 h 1353493"/>
              <a:gd name="connsiteX71" fmla="*/ 1643204 w 2865422"/>
              <a:gd name="connsiteY71" fmla="*/ 1140737 h 1353493"/>
              <a:gd name="connsiteX72" fmla="*/ 1715632 w 2865422"/>
              <a:gd name="connsiteY72" fmla="*/ 1118103 h 1353493"/>
              <a:gd name="connsiteX73" fmla="*/ 1774479 w 2865422"/>
              <a:gd name="connsiteY73" fmla="*/ 1068309 h 1353493"/>
              <a:gd name="connsiteX74" fmla="*/ 1883121 w 2865422"/>
              <a:gd name="connsiteY74" fmla="*/ 1054729 h 1353493"/>
              <a:gd name="connsiteX75" fmla="*/ 1955548 w 2865422"/>
              <a:gd name="connsiteY75" fmla="*/ 1050202 h 1353493"/>
              <a:gd name="connsiteX76" fmla="*/ 2018923 w 2865422"/>
              <a:gd name="connsiteY76" fmla="*/ 1050202 h 1353493"/>
              <a:gd name="connsiteX77" fmla="*/ 2104931 w 2865422"/>
              <a:gd name="connsiteY77" fmla="*/ 1032095 h 13534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Lst>
            <a:rect l="l" t="t" r="r" b="b"/>
            <a:pathLst>
              <a:path w="2865422" h="1353493">
                <a:moveTo>
                  <a:pt x="2104931" y="1032095"/>
                </a:moveTo>
                <a:lnTo>
                  <a:pt x="2783940" y="1353493"/>
                </a:lnTo>
                <a:lnTo>
                  <a:pt x="2820154" y="1262958"/>
                </a:lnTo>
                <a:lnTo>
                  <a:pt x="2842788" y="1172424"/>
                </a:lnTo>
                <a:lnTo>
                  <a:pt x="2860895" y="1077362"/>
                </a:lnTo>
                <a:lnTo>
                  <a:pt x="2865422" y="964194"/>
                </a:lnTo>
                <a:lnTo>
                  <a:pt x="2851841" y="837445"/>
                </a:lnTo>
                <a:lnTo>
                  <a:pt x="2824681" y="715224"/>
                </a:lnTo>
                <a:lnTo>
                  <a:pt x="2783940" y="588475"/>
                </a:lnTo>
                <a:lnTo>
                  <a:pt x="2725093" y="493414"/>
                </a:lnTo>
                <a:lnTo>
                  <a:pt x="2670772" y="398352"/>
                </a:lnTo>
                <a:lnTo>
                  <a:pt x="2611925" y="325925"/>
                </a:lnTo>
                <a:lnTo>
                  <a:pt x="2503283" y="230863"/>
                </a:lnTo>
                <a:lnTo>
                  <a:pt x="2394641" y="153909"/>
                </a:lnTo>
                <a:lnTo>
                  <a:pt x="2299580" y="95061"/>
                </a:lnTo>
                <a:lnTo>
                  <a:pt x="2209045" y="63374"/>
                </a:lnTo>
                <a:lnTo>
                  <a:pt x="2082297" y="18107"/>
                </a:lnTo>
                <a:lnTo>
                  <a:pt x="1973655" y="4527"/>
                </a:lnTo>
                <a:lnTo>
                  <a:pt x="1842380" y="0"/>
                </a:lnTo>
                <a:lnTo>
                  <a:pt x="1742792" y="9053"/>
                </a:lnTo>
                <a:lnTo>
                  <a:pt x="1647731" y="22634"/>
                </a:lnTo>
                <a:lnTo>
                  <a:pt x="1543616" y="54321"/>
                </a:lnTo>
                <a:lnTo>
                  <a:pt x="1444028" y="90535"/>
                </a:lnTo>
                <a:lnTo>
                  <a:pt x="1362546" y="135802"/>
                </a:lnTo>
                <a:lnTo>
                  <a:pt x="1267485" y="185596"/>
                </a:lnTo>
                <a:lnTo>
                  <a:pt x="1217691" y="230863"/>
                </a:lnTo>
                <a:lnTo>
                  <a:pt x="1149790" y="298764"/>
                </a:lnTo>
                <a:lnTo>
                  <a:pt x="1072836" y="253497"/>
                </a:lnTo>
                <a:lnTo>
                  <a:pt x="959667" y="199176"/>
                </a:lnTo>
                <a:lnTo>
                  <a:pt x="846499" y="172016"/>
                </a:lnTo>
                <a:lnTo>
                  <a:pt x="737857" y="153909"/>
                </a:lnTo>
                <a:lnTo>
                  <a:pt x="606582" y="172016"/>
                </a:lnTo>
                <a:lnTo>
                  <a:pt x="425513" y="221810"/>
                </a:lnTo>
                <a:lnTo>
                  <a:pt x="294237" y="298764"/>
                </a:lnTo>
                <a:lnTo>
                  <a:pt x="203703" y="375719"/>
                </a:lnTo>
                <a:lnTo>
                  <a:pt x="149382" y="439093"/>
                </a:lnTo>
                <a:lnTo>
                  <a:pt x="99588" y="516047"/>
                </a:lnTo>
                <a:lnTo>
                  <a:pt x="72428" y="574895"/>
                </a:lnTo>
                <a:lnTo>
                  <a:pt x="22634" y="683537"/>
                </a:lnTo>
                <a:lnTo>
                  <a:pt x="9053" y="787651"/>
                </a:lnTo>
                <a:lnTo>
                  <a:pt x="0" y="864606"/>
                </a:lnTo>
                <a:lnTo>
                  <a:pt x="13580" y="955141"/>
                </a:lnTo>
                <a:lnTo>
                  <a:pt x="22634" y="1045675"/>
                </a:lnTo>
                <a:lnTo>
                  <a:pt x="49794" y="1127156"/>
                </a:lnTo>
                <a:lnTo>
                  <a:pt x="81481" y="1213164"/>
                </a:lnTo>
                <a:lnTo>
                  <a:pt x="113168" y="1267485"/>
                </a:lnTo>
                <a:lnTo>
                  <a:pt x="203703" y="1267485"/>
                </a:lnTo>
                <a:lnTo>
                  <a:pt x="253497" y="1249378"/>
                </a:lnTo>
                <a:lnTo>
                  <a:pt x="353085" y="1235798"/>
                </a:lnTo>
                <a:lnTo>
                  <a:pt x="411933" y="1217691"/>
                </a:lnTo>
                <a:lnTo>
                  <a:pt x="457200" y="1217691"/>
                </a:lnTo>
                <a:lnTo>
                  <a:pt x="502467" y="1217691"/>
                </a:lnTo>
                <a:lnTo>
                  <a:pt x="511521" y="1190531"/>
                </a:lnTo>
                <a:lnTo>
                  <a:pt x="574895" y="1190531"/>
                </a:lnTo>
                <a:lnTo>
                  <a:pt x="669956" y="1190531"/>
                </a:lnTo>
                <a:lnTo>
                  <a:pt x="755964" y="1213164"/>
                </a:lnTo>
                <a:lnTo>
                  <a:pt x="846499" y="1222218"/>
                </a:lnTo>
                <a:lnTo>
                  <a:pt x="964194" y="1208638"/>
                </a:lnTo>
                <a:lnTo>
                  <a:pt x="1023041" y="1208638"/>
                </a:lnTo>
                <a:lnTo>
                  <a:pt x="1113576" y="1208638"/>
                </a:lnTo>
                <a:lnTo>
                  <a:pt x="1113576" y="1176950"/>
                </a:lnTo>
                <a:lnTo>
                  <a:pt x="1131683" y="1154317"/>
                </a:lnTo>
                <a:lnTo>
                  <a:pt x="1217691" y="1149790"/>
                </a:lnTo>
                <a:lnTo>
                  <a:pt x="1290119" y="1122630"/>
                </a:lnTo>
                <a:lnTo>
                  <a:pt x="1348966" y="1186004"/>
                </a:lnTo>
                <a:lnTo>
                  <a:pt x="1348966" y="1186004"/>
                </a:lnTo>
                <a:lnTo>
                  <a:pt x="1412340" y="1158844"/>
                </a:lnTo>
                <a:lnTo>
                  <a:pt x="1462135" y="1140737"/>
                </a:lnTo>
                <a:lnTo>
                  <a:pt x="1507402" y="1145263"/>
                </a:lnTo>
                <a:lnTo>
                  <a:pt x="1534562" y="1127156"/>
                </a:lnTo>
                <a:lnTo>
                  <a:pt x="1584356" y="1109049"/>
                </a:lnTo>
                <a:lnTo>
                  <a:pt x="1643204" y="1140737"/>
                </a:lnTo>
                <a:lnTo>
                  <a:pt x="1715632" y="1118103"/>
                </a:lnTo>
                <a:lnTo>
                  <a:pt x="1774479" y="1068309"/>
                </a:lnTo>
                <a:lnTo>
                  <a:pt x="1883121" y="1054729"/>
                </a:lnTo>
                <a:lnTo>
                  <a:pt x="1955548" y="1050202"/>
                </a:lnTo>
                <a:lnTo>
                  <a:pt x="2018923" y="1050202"/>
                </a:lnTo>
                <a:lnTo>
                  <a:pt x="2104931" y="1032095"/>
                </a:lnTo>
                <a:close/>
              </a:path>
            </a:pathLst>
          </a:custGeom>
          <a:pattFill prst="wdDnDiag">
            <a:fgClr>
              <a:schemeClr val="accent1"/>
            </a:fgClr>
            <a:bgClr>
              <a:schemeClr val="bg1"/>
            </a:bgClr>
          </a:patt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6" name="Oval 5">
            <a:extLst>
              <a:ext uri="{FF2B5EF4-FFF2-40B4-BE49-F238E27FC236}">
                <a16:creationId xmlns:a16="http://schemas.microsoft.com/office/drawing/2014/main" id="{A5BA59A3-BC61-40E1-AF80-8EBEBB5AE9BF}"/>
              </a:ext>
            </a:extLst>
          </xdr:cNvPr>
          <xdr:cNvSpPr/>
        </xdr:nvSpPr>
        <xdr:spPr>
          <a:xfrm>
            <a:off x="1348910" y="325925"/>
            <a:ext cx="2009926" cy="193744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Star: 5 Points 6">
            <a:extLst>
              <a:ext uri="{FF2B5EF4-FFF2-40B4-BE49-F238E27FC236}">
                <a16:creationId xmlns:a16="http://schemas.microsoft.com/office/drawing/2014/main" id="{01BFC847-4AFE-4E9E-B68F-E1AED15BC3F6}"/>
              </a:ext>
            </a:extLst>
          </xdr:cNvPr>
          <xdr:cNvSpPr/>
        </xdr:nvSpPr>
        <xdr:spPr>
          <a:xfrm>
            <a:off x="2308634" y="1204111"/>
            <a:ext cx="90534" cy="76954"/>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Star: 5 Points 7">
            <a:extLst>
              <a:ext uri="{FF2B5EF4-FFF2-40B4-BE49-F238E27FC236}">
                <a16:creationId xmlns:a16="http://schemas.microsoft.com/office/drawing/2014/main" id="{9FAB43A0-F045-40A4-91EC-CE4C8D4C8855}"/>
              </a:ext>
            </a:extLst>
          </xdr:cNvPr>
          <xdr:cNvSpPr/>
        </xdr:nvSpPr>
        <xdr:spPr>
          <a:xfrm>
            <a:off x="1158844" y="1127157"/>
            <a:ext cx="90534" cy="76954"/>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9" name="Oval 8">
            <a:extLst>
              <a:ext uri="{FF2B5EF4-FFF2-40B4-BE49-F238E27FC236}">
                <a16:creationId xmlns:a16="http://schemas.microsoft.com/office/drawing/2014/main" id="{4822BDE5-08ED-4085-BD33-AA01C69DC596}"/>
              </a:ext>
            </a:extLst>
          </xdr:cNvPr>
          <xdr:cNvSpPr/>
        </xdr:nvSpPr>
        <xdr:spPr>
          <a:xfrm>
            <a:off x="497941" y="479834"/>
            <a:ext cx="1430448" cy="143044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eff.Lines@SilsoeResearch.org.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jmlondon.shinyapps.io/NMFSAcousticDeterrentWebToo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B07DA-D226-4999-8B65-BCC331EFFCAB}">
  <dimension ref="A1"/>
  <sheetViews>
    <sheetView topLeftCell="P6" workbookViewId="0">
      <selection activeCell="P6" sqref="O6:P6"/>
    </sheetView>
  </sheetViews>
  <sheetFormatPr baseColWidth="10" defaultColWidth="8.83203125" defaultRowHeight="15" x14ac:dyDescent="0.2"/>
  <sheetData/>
  <sheetProtection algorithmName="SHA-512" hashValue="6dfbshlwvX4qUjhtcyTBDF2pUnMx9i/0PNprt3PzW/tFd1zBEdq9vZMH1Iu/8516jDg+2STBzCWX8TiwmYtpaw==" saltValue="gx6cf+0dQ5ma3X0+W9GBow==" spinCount="100000" sheet="1" objects="1" scenarios="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BCF27-D4A0-4D08-A532-719E77D7E273}">
  <dimension ref="A1:U118"/>
  <sheetViews>
    <sheetView topLeftCell="A22" zoomScale="85" zoomScaleNormal="85" workbookViewId="0">
      <selection activeCell="B33" sqref="B33"/>
    </sheetView>
  </sheetViews>
  <sheetFormatPr baseColWidth="10" defaultColWidth="9.1640625" defaultRowHeight="15" x14ac:dyDescent="0.2"/>
  <cols>
    <col min="1" max="1" width="30.5" style="2" customWidth="1"/>
    <col min="2" max="5" width="12.6640625" style="2" customWidth="1"/>
    <col min="6" max="6" width="13.83203125" style="2" customWidth="1"/>
    <col min="7" max="7" width="12.6640625" style="2" customWidth="1"/>
    <col min="8" max="9" width="13.6640625" style="2" customWidth="1"/>
    <col min="10" max="11" width="12.6640625" style="2" customWidth="1"/>
    <col min="12" max="14" width="12.6640625" style="3" customWidth="1"/>
    <col min="15" max="15" width="12.6640625" style="2" customWidth="1"/>
    <col min="16" max="16" width="11.6640625" style="2" customWidth="1"/>
    <col min="17" max="16384" width="9.1640625" style="2"/>
  </cols>
  <sheetData>
    <row r="1" spans="1:21" ht="19" x14ac:dyDescent="0.25">
      <c r="A1" s="34" t="s">
        <v>0</v>
      </c>
      <c r="D1" s="2" t="s">
        <v>1</v>
      </c>
      <c r="J1" s="37" t="s">
        <v>2</v>
      </c>
    </row>
    <row r="2" spans="1:21" x14ac:dyDescent="0.2">
      <c r="A2" s="4" t="s">
        <v>3</v>
      </c>
      <c r="C2" s="39" t="s">
        <v>4</v>
      </c>
      <c r="D2" s="39"/>
      <c r="E2" s="39"/>
    </row>
    <row r="3" spans="1:21" x14ac:dyDescent="0.2">
      <c r="A3" s="5" t="s">
        <v>5</v>
      </c>
      <c r="B3" s="5"/>
      <c r="C3" s="5"/>
      <c r="D3" s="5"/>
      <c r="E3" s="5"/>
      <c r="F3" s="5"/>
      <c r="G3" s="5"/>
    </row>
    <row r="4" spans="1:21" x14ac:dyDescent="0.2">
      <c r="A4" s="5" t="s">
        <v>6</v>
      </c>
      <c r="B4" s="5"/>
      <c r="C4" s="5"/>
      <c r="D4" s="5"/>
      <c r="E4" s="5"/>
      <c r="F4" s="5"/>
      <c r="G4" s="5"/>
    </row>
    <row r="5" spans="1:21" x14ac:dyDescent="0.2">
      <c r="A5" s="2" t="s">
        <v>7</v>
      </c>
      <c r="L5" s="2"/>
      <c r="M5" s="2"/>
      <c r="N5" s="2"/>
    </row>
    <row r="6" spans="1:21" x14ac:dyDescent="0.2">
      <c r="A6" s="2" t="s">
        <v>8</v>
      </c>
    </row>
    <row r="7" spans="1:21" x14ac:dyDescent="0.2">
      <c r="A7" s="2" t="s">
        <v>9</v>
      </c>
    </row>
    <row r="8" spans="1:21" x14ac:dyDescent="0.2">
      <c r="A8" s="2" t="s">
        <v>10</v>
      </c>
    </row>
    <row r="9" spans="1:21" x14ac:dyDescent="0.2">
      <c r="A9" s="2" t="s">
        <v>11</v>
      </c>
    </row>
    <row r="10" spans="1:21" x14ac:dyDescent="0.2">
      <c r="A10" s="2" t="s">
        <v>12</v>
      </c>
    </row>
    <row r="11" spans="1:21" x14ac:dyDescent="0.2">
      <c r="A11" s="2" t="s">
        <v>13</v>
      </c>
    </row>
    <row r="12" spans="1:21" x14ac:dyDescent="0.2">
      <c r="A12" s="2" t="s">
        <v>14</v>
      </c>
    </row>
    <row r="13" spans="1:21" x14ac:dyDescent="0.2">
      <c r="A13" s="2" t="s">
        <v>15</v>
      </c>
    </row>
    <row r="14" spans="1:21" x14ac:dyDescent="0.2">
      <c r="A14" s="2" t="s">
        <v>16</v>
      </c>
    </row>
    <row r="15" spans="1:21" x14ac:dyDescent="0.2">
      <c r="A15" s="2" t="s">
        <v>17</v>
      </c>
      <c r="R15" s="10"/>
      <c r="S15" s="10"/>
      <c r="T15" s="10"/>
      <c r="U15" s="10"/>
    </row>
    <row r="16" spans="1:21" x14ac:dyDescent="0.2">
      <c r="A16" s="2" t="s">
        <v>18</v>
      </c>
      <c r="R16" s="10"/>
      <c r="S16" s="10"/>
      <c r="T16" s="10"/>
      <c r="U16" s="10"/>
    </row>
    <row r="17" spans="1:21" x14ac:dyDescent="0.2">
      <c r="A17" s="2" t="s">
        <v>19</v>
      </c>
      <c r="R17" s="10"/>
      <c r="S17" s="10"/>
      <c r="T17" s="10"/>
      <c r="U17" s="10"/>
    </row>
    <row r="18" spans="1:21" x14ac:dyDescent="0.2">
      <c r="D18" s="6"/>
      <c r="E18" s="7"/>
      <c r="R18" s="10"/>
      <c r="S18" s="10"/>
      <c r="T18" s="10"/>
      <c r="U18" s="10"/>
    </row>
    <row r="19" spans="1:21" x14ac:dyDescent="0.2">
      <c r="D19" s="6"/>
      <c r="E19" s="7"/>
      <c r="R19" s="10"/>
      <c r="S19" s="10"/>
      <c r="T19" s="10"/>
      <c r="U19" s="10"/>
    </row>
    <row r="20" spans="1:21" ht="21" x14ac:dyDescent="0.25">
      <c r="A20" s="8" t="s">
        <v>20</v>
      </c>
      <c r="D20" s="6"/>
      <c r="E20" s="7"/>
    </row>
    <row r="21" spans="1:21" ht="16" thickBot="1" x14ac:dyDescent="0.25"/>
    <row r="22" spans="1:21" ht="19" x14ac:dyDescent="0.25">
      <c r="A22" s="86" t="s">
        <v>21</v>
      </c>
      <c r="B22" s="87" t="s">
        <v>22</v>
      </c>
      <c r="C22" s="168"/>
      <c r="D22" s="132"/>
      <c r="J22" s="35" t="s">
        <v>23</v>
      </c>
      <c r="N22" s="2"/>
    </row>
    <row r="23" spans="1:21" ht="16" thickBot="1" x14ac:dyDescent="0.25">
      <c r="A23" s="21" t="s">
        <v>24</v>
      </c>
      <c r="B23" s="88" t="s">
        <v>183</v>
      </c>
      <c r="C23" s="154" t="str">
        <f>HLOOKUP(B$23,'Source data'!B$25:I$34,2,FALSE)</f>
        <v>Hebrides west coast</v>
      </c>
      <c r="D23" s="89"/>
      <c r="E23" s="7"/>
      <c r="M23" s="2"/>
    </row>
    <row r="24" spans="1:21" ht="16" thickBot="1" x14ac:dyDescent="0.25">
      <c r="H24" s="9"/>
      <c r="I24" s="9"/>
    </row>
    <row r="25" spans="1:21" x14ac:dyDescent="0.2">
      <c r="A25" s="16"/>
      <c r="B25" s="16"/>
      <c r="C25" s="124"/>
      <c r="D25" s="16" t="s">
        <v>25</v>
      </c>
      <c r="E25" s="90"/>
      <c r="F25" s="90"/>
      <c r="G25" s="169"/>
      <c r="H25" s="171" t="s">
        <v>26</v>
      </c>
      <c r="I25" s="170"/>
      <c r="J25" s="3" t="s">
        <v>27</v>
      </c>
      <c r="K25" s="3" t="s">
        <v>28</v>
      </c>
      <c r="L25" s="3" t="s">
        <v>29</v>
      </c>
      <c r="M25" s="3" t="s">
        <v>29</v>
      </c>
      <c r="N25" s="3" t="s">
        <v>29</v>
      </c>
    </row>
    <row r="26" spans="1:21" ht="16" thickBot="1" x14ac:dyDescent="0.25">
      <c r="A26" s="19" t="s">
        <v>30</v>
      </c>
      <c r="B26" s="125" t="s">
        <v>31</v>
      </c>
      <c r="C26" s="126" t="s">
        <v>32</v>
      </c>
      <c r="D26" s="122" t="s">
        <v>33</v>
      </c>
      <c r="E26" s="123" t="s">
        <v>34</v>
      </c>
      <c r="F26" s="123" t="s">
        <v>35</v>
      </c>
      <c r="G26" s="123" t="s">
        <v>36</v>
      </c>
      <c r="H26" s="172" t="s">
        <v>37</v>
      </c>
      <c r="I26" s="170"/>
      <c r="J26" s="3" t="s">
        <v>38</v>
      </c>
      <c r="K26" s="3" t="s">
        <v>38</v>
      </c>
      <c r="L26" s="3" t="s">
        <v>39</v>
      </c>
      <c r="M26" s="3" t="s">
        <v>40</v>
      </c>
      <c r="N26" s="3" t="s">
        <v>41</v>
      </c>
    </row>
    <row r="27" spans="1:21" x14ac:dyDescent="0.2">
      <c r="A27" s="86" t="s">
        <v>42</v>
      </c>
      <c r="B27" s="98">
        <v>0</v>
      </c>
      <c r="C27" s="100" t="s">
        <v>43</v>
      </c>
      <c r="D27" s="102">
        <v>195</v>
      </c>
      <c r="E27" s="103">
        <v>233.30076896456973</v>
      </c>
      <c r="F27" s="102">
        <v>218.34239547984308</v>
      </c>
      <c r="G27" s="104">
        <v>212.57294067737863</v>
      </c>
      <c r="H27" s="173" t="s">
        <v>43</v>
      </c>
      <c r="I27" s="18"/>
      <c r="J27" s="3">
        <f t="shared" ref="J27:J39" si="0">IF(AND(B27&gt;0,C27="YES"),B27*10^(D27/10),1)</f>
        <v>1</v>
      </c>
      <c r="K27" s="3">
        <f t="shared" ref="K27:K39" si="1">IF(B27&gt;0,D27,0)</f>
        <v>0</v>
      </c>
      <c r="L27" s="3">
        <f t="shared" ref="L27:L39" si="2">$B27*10^(E27/10)</f>
        <v>0</v>
      </c>
      <c r="M27" s="3">
        <f t="shared" ref="M27:M39" si="3">$B27*10^(F27/10)</f>
        <v>0</v>
      </c>
      <c r="N27" s="3">
        <f t="shared" ref="N27:N39" si="4">$B27*10^(G27/10)</f>
        <v>0</v>
      </c>
    </row>
    <row r="28" spans="1:21" x14ac:dyDescent="0.2">
      <c r="A28" s="20" t="s">
        <v>44</v>
      </c>
      <c r="B28" s="99">
        <v>0</v>
      </c>
      <c r="C28" s="101" t="s">
        <v>43</v>
      </c>
      <c r="D28" s="105">
        <v>198</v>
      </c>
      <c r="E28" s="106">
        <v>242.41667310057016</v>
      </c>
      <c r="F28" s="105">
        <v>241.38505005834574</v>
      </c>
      <c r="G28" s="107">
        <v>238.590586531149</v>
      </c>
      <c r="H28" s="173" t="s">
        <v>43</v>
      </c>
      <c r="I28" s="18"/>
      <c r="J28" s="3">
        <f t="shared" si="0"/>
        <v>1</v>
      </c>
      <c r="K28" s="3">
        <f t="shared" si="1"/>
        <v>0</v>
      </c>
      <c r="L28" s="3">
        <f t="shared" si="2"/>
        <v>0</v>
      </c>
      <c r="M28" s="3">
        <f t="shared" si="3"/>
        <v>0</v>
      </c>
      <c r="N28" s="3">
        <f t="shared" si="4"/>
        <v>0</v>
      </c>
    </row>
    <row r="29" spans="1:21" x14ac:dyDescent="0.2">
      <c r="A29" s="20" t="s">
        <v>45</v>
      </c>
      <c r="B29" s="99">
        <v>0</v>
      </c>
      <c r="C29" s="101" t="s">
        <v>43</v>
      </c>
      <c r="D29" s="105">
        <v>198</v>
      </c>
      <c r="E29" s="106">
        <v>245.42697305720998</v>
      </c>
      <c r="F29" s="105">
        <v>244.39535001498555</v>
      </c>
      <c r="G29" s="107">
        <v>241.60088648778881</v>
      </c>
      <c r="H29" s="173" t="s">
        <v>43</v>
      </c>
      <c r="I29" s="18"/>
      <c r="J29" s="3">
        <f t="shared" si="0"/>
        <v>1</v>
      </c>
      <c r="K29" s="3">
        <f t="shared" si="1"/>
        <v>0</v>
      </c>
      <c r="L29" s="3">
        <f t="shared" si="2"/>
        <v>0</v>
      </c>
      <c r="M29" s="3">
        <f t="shared" si="3"/>
        <v>0</v>
      </c>
      <c r="N29" s="3">
        <f t="shared" si="4"/>
        <v>0</v>
      </c>
    </row>
    <row r="30" spans="1:21" x14ac:dyDescent="0.2">
      <c r="A30" s="20" t="s">
        <v>46</v>
      </c>
      <c r="B30" s="99">
        <v>0</v>
      </c>
      <c r="C30" s="101" t="s">
        <v>43</v>
      </c>
      <c r="D30" s="105">
        <v>189</v>
      </c>
      <c r="E30" s="106">
        <v>231.43545067479408</v>
      </c>
      <c r="F30" s="105">
        <v>230.5322110410057</v>
      </c>
      <c r="G30" s="107">
        <v>227.73272346638348</v>
      </c>
      <c r="H30" s="173" t="s">
        <v>43</v>
      </c>
      <c r="I30" s="18"/>
      <c r="J30" s="3">
        <f t="shared" si="0"/>
        <v>1</v>
      </c>
      <c r="K30" s="3">
        <f t="shared" si="1"/>
        <v>0</v>
      </c>
      <c r="L30" s="3">
        <f t="shared" si="2"/>
        <v>0</v>
      </c>
      <c r="M30" s="3">
        <f t="shared" si="3"/>
        <v>0</v>
      </c>
      <c r="N30" s="3">
        <f t="shared" si="4"/>
        <v>0</v>
      </c>
    </row>
    <row r="31" spans="1:21" x14ac:dyDescent="0.2">
      <c r="A31" s="20" t="s">
        <v>47</v>
      </c>
      <c r="B31" s="99">
        <v>0</v>
      </c>
      <c r="C31" s="101" t="s">
        <v>43</v>
      </c>
      <c r="D31" s="105">
        <v>165</v>
      </c>
      <c r="E31" s="106">
        <v>201.92637598598822</v>
      </c>
      <c r="F31" s="105">
        <v>201.02313635219986</v>
      </c>
      <c r="G31" s="107">
        <v>198.22364877757764</v>
      </c>
      <c r="H31" s="173" t="s">
        <v>48</v>
      </c>
      <c r="I31" s="18"/>
      <c r="J31" s="3">
        <f t="shared" si="0"/>
        <v>1</v>
      </c>
      <c r="K31" s="3">
        <f t="shared" si="1"/>
        <v>0</v>
      </c>
      <c r="L31" s="3">
        <f t="shared" si="2"/>
        <v>0</v>
      </c>
      <c r="M31" s="3">
        <f t="shared" si="3"/>
        <v>0</v>
      </c>
      <c r="N31" s="3">
        <f t="shared" si="4"/>
        <v>0</v>
      </c>
    </row>
    <row r="32" spans="1:21" x14ac:dyDescent="0.2">
      <c r="A32" s="20" t="s">
        <v>49</v>
      </c>
      <c r="B32" s="99">
        <v>0</v>
      </c>
      <c r="C32" s="101" t="s">
        <v>43</v>
      </c>
      <c r="D32" s="105">
        <v>180</v>
      </c>
      <c r="E32" s="106">
        <v>215.31102961614297</v>
      </c>
      <c r="F32" s="105">
        <v>187.58874069365135</v>
      </c>
      <c r="G32" s="107">
        <v>179.47027647272211</v>
      </c>
      <c r="H32" s="173" t="s">
        <v>48</v>
      </c>
      <c r="I32" s="18"/>
      <c r="J32" s="3">
        <f t="shared" ref="J32" si="5">IF(AND(B32&gt;0,C32="YES"),B32*10^(D32/10),1)</f>
        <v>1</v>
      </c>
      <c r="K32" s="3">
        <f t="shared" ref="K32" si="6">IF(B32&gt;0,D32,0)</f>
        <v>0</v>
      </c>
      <c r="L32" s="3">
        <f t="shared" ref="L32" si="7">$B32*10^(E32/10)</f>
        <v>0</v>
      </c>
      <c r="M32" s="3">
        <f t="shared" ref="M32" si="8">$B32*10^(F32/10)</f>
        <v>0</v>
      </c>
      <c r="N32" s="3">
        <f t="shared" ref="N32" si="9">$B32*10^(G32/10)</f>
        <v>0</v>
      </c>
    </row>
    <row r="33" spans="1:14" x14ac:dyDescent="0.2">
      <c r="A33" s="20" t="s">
        <v>50</v>
      </c>
      <c r="B33" s="99">
        <v>1</v>
      </c>
      <c r="C33" s="101" t="s">
        <v>43</v>
      </c>
      <c r="D33" s="105">
        <v>176</v>
      </c>
      <c r="E33" s="106">
        <v>215.70366143880995</v>
      </c>
      <c r="F33" s="105">
        <v>186.67423647997123</v>
      </c>
      <c r="G33" s="107">
        <v>178.28679088387707</v>
      </c>
      <c r="H33" s="173" t="s">
        <v>48</v>
      </c>
      <c r="I33" s="18"/>
      <c r="J33" s="3">
        <f t="shared" si="0"/>
        <v>1</v>
      </c>
      <c r="K33" s="3">
        <f t="shared" si="1"/>
        <v>176</v>
      </c>
      <c r="L33" s="3">
        <f t="shared" si="2"/>
        <v>3.7184859414477563E+21</v>
      </c>
      <c r="M33" s="3">
        <f t="shared" si="3"/>
        <v>4.6496862424922051E+18</v>
      </c>
      <c r="N33" s="3">
        <f t="shared" si="4"/>
        <v>6.7402978530666534E+17</v>
      </c>
    </row>
    <row r="34" spans="1:14" x14ac:dyDescent="0.2">
      <c r="A34" s="20" t="s">
        <v>51</v>
      </c>
      <c r="B34" s="99">
        <v>0</v>
      </c>
      <c r="C34" s="101" t="s">
        <v>43</v>
      </c>
      <c r="D34" s="105">
        <v>180</v>
      </c>
      <c r="E34" s="106">
        <v>219.76446189362053</v>
      </c>
      <c r="F34" s="105">
        <v>196.18489817420988</v>
      </c>
      <c r="G34" s="107">
        <v>188.62462714576407</v>
      </c>
      <c r="H34" s="173" t="s">
        <v>48</v>
      </c>
      <c r="I34" s="18"/>
      <c r="J34" s="3">
        <f t="shared" si="0"/>
        <v>1</v>
      </c>
      <c r="K34" s="3">
        <f t="shared" si="1"/>
        <v>0</v>
      </c>
      <c r="L34" s="3">
        <f t="shared" si="2"/>
        <v>0</v>
      </c>
      <c r="M34" s="3">
        <f t="shared" si="3"/>
        <v>0</v>
      </c>
      <c r="N34" s="3">
        <f t="shared" si="4"/>
        <v>0</v>
      </c>
    </row>
    <row r="35" spans="1:14" x14ac:dyDescent="0.2">
      <c r="A35" s="20" t="s">
        <v>52</v>
      </c>
      <c r="B35" s="99">
        <v>0</v>
      </c>
      <c r="C35" s="101" t="s">
        <v>43</v>
      </c>
      <c r="D35" s="105">
        <v>181</v>
      </c>
      <c r="E35" s="106">
        <v>218.74841059650979</v>
      </c>
      <c r="F35" s="105">
        <v>216.81010744828168</v>
      </c>
      <c r="G35" s="107">
        <v>213.67283574265389</v>
      </c>
      <c r="H35" s="173" t="s">
        <v>48</v>
      </c>
      <c r="I35" s="18"/>
      <c r="J35" s="3">
        <f t="shared" si="0"/>
        <v>1</v>
      </c>
      <c r="K35" s="3">
        <f t="shared" si="1"/>
        <v>0</v>
      </c>
      <c r="L35" s="3">
        <f t="shared" si="2"/>
        <v>0</v>
      </c>
      <c r="M35" s="3">
        <f t="shared" si="3"/>
        <v>0</v>
      </c>
      <c r="N35" s="3">
        <f t="shared" si="4"/>
        <v>0</v>
      </c>
    </row>
    <row r="36" spans="1:14" x14ac:dyDescent="0.2">
      <c r="A36" s="91" t="s">
        <v>53</v>
      </c>
      <c r="B36" s="99">
        <v>0</v>
      </c>
      <c r="C36" s="101" t="s">
        <v>43</v>
      </c>
      <c r="D36" s="108">
        <v>0</v>
      </c>
      <c r="E36" s="109">
        <v>0</v>
      </c>
      <c r="F36" s="108">
        <v>0</v>
      </c>
      <c r="G36" s="110">
        <v>0</v>
      </c>
      <c r="H36" s="174"/>
      <c r="I36"/>
      <c r="J36" s="3">
        <f t="shared" si="0"/>
        <v>1</v>
      </c>
      <c r="K36" s="3">
        <f t="shared" si="1"/>
        <v>0</v>
      </c>
      <c r="L36" s="3">
        <f t="shared" si="2"/>
        <v>0</v>
      </c>
      <c r="M36" s="3">
        <f t="shared" si="3"/>
        <v>0</v>
      </c>
      <c r="N36" s="3">
        <f t="shared" si="4"/>
        <v>0</v>
      </c>
    </row>
    <row r="37" spans="1:14" x14ac:dyDescent="0.2">
      <c r="A37" s="91" t="s">
        <v>54</v>
      </c>
      <c r="B37" s="99">
        <v>0</v>
      </c>
      <c r="C37" s="101" t="s">
        <v>43</v>
      </c>
      <c r="D37" s="108">
        <v>0</v>
      </c>
      <c r="E37" s="109">
        <v>0</v>
      </c>
      <c r="F37" s="108">
        <v>0</v>
      </c>
      <c r="G37" s="110">
        <v>0</v>
      </c>
      <c r="H37" s="174"/>
      <c r="I37"/>
      <c r="J37" s="3">
        <f t="shared" si="0"/>
        <v>1</v>
      </c>
      <c r="K37" s="3">
        <f t="shared" si="1"/>
        <v>0</v>
      </c>
      <c r="L37" s="3">
        <f t="shared" si="2"/>
        <v>0</v>
      </c>
      <c r="M37" s="3">
        <f t="shared" si="3"/>
        <v>0</v>
      </c>
      <c r="N37" s="3">
        <f t="shared" si="4"/>
        <v>0</v>
      </c>
    </row>
    <row r="38" spans="1:14" x14ac:dyDescent="0.2">
      <c r="A38" s="91" t="s">
        <v>55</v>
      </c>
      <c r="B38" s="99">
        <v>0</v>
      </c>
      <c r="C38" s="101" t="s">
        <v>43</v>
      </c>
      <c r="D38" s="108">
        <v>0</v>
      </c>
      <c r="E38" s="109">
        <v>0</v>
      </c>
      <c r="F38" s="108">
        <v>0</v>
      </c>
      <c r="G38" s="110">
        <v>0</v>
      </c>
      <c r="H38" s="174"/>
      <c r="I38"/>
      <c r="J38" s="3">
        <f t="shared" si="0"/>
        <v>1</v>
      </c>
      <c r="K38" s="3">
        <f t="shared" si="1"/>
        <v>0</v>
      </c>
      <c r="L38" s="3">
        <f t="shared" si="2"/>
        <v>0</v>
      </c>
      <c r="M38" s="3">
        <f t="shared" si="3"/>
        <v>0</v>
      </c>
      <c r="N38" s="3">
        <f t="shared" si="4"/>
        <v>0</v>
      </c>
    </row>
    <row r="39" spans="1:14" ht="16" thickBot="1" x14ac:dyDescent="0.25">
      <c r="A39" s="155" t="str">
        <f>'Source data'!K8&amp;"  "&amp;'Source data'!K9</f>
        <v>Ace Aquatec  US3</v>
      </c>
      <c r="B39" s="99">
        <v>0</v>
      </c>
      <c r="C39" s="101" t="s">
        <v>43</v>
      </c>
      <c r="D39" s="156">
        <f>'Source data'!K10</f>
        <v>181</v>
      </c>
      <c r="E39" s="157">
        <f>'Source data'!F66</f>
        <v>215.57634646250389</v>
      </c>
      <c r="F39" s="156">
        <f>'Source data'!G66</f>
        <v>214.11448761429324</v>
      </c>
      <c r="G39" s="158">
        <f>'Source data'!H66</f>
        <v>211.15493187529836</v>
      </c>
      <c r="H39" s="175" t="str">
        <f>IF('Source data'!N46,"YES","NO")</f>
        <v>YES</v>
      </c>
      <c r="I39"/>
      <c r="J39" s="3">
        <f t="shared" si="0"/>
        <v>1</v>
      </c>
      <c r="K39" s="3">
        <f t="shared" si="1"/>
        <v>0</v>
      </c>
      <c r="L39" s="3">
        <f t="shared" si="2"/>
        <v>0</v>
      </c>
      <c r="M39" s="3">
        <f t="shared" si="3"/>
        <v>0</v>
      </c>
      <c r="N39" s="3">
        <f t="shared" si="4"/>
        <v>0</v>
      </c>
    </row>
    <row r="40" spans="1:14" x14ac:dyDescent="0.2">
      <c r="A40" s="86" t="s">
        <v>56</v>
      </c>
      <c r="B40" s="17"/>
      <c r="C40" s="17"/>
      <c r="D40" s="161">
        <f>MAX(J40,K40)</f>
        <v>176</v>
      </c>
      <c r="E40" s="159">
        <f>10*LOG(SUM(L27:L39))</f>
        <v>215.70366143881</v>
      </c>
      <c r="F40" s="161">
        <f>10*LOG(SUM(M27:M39))</f>
        <v>186.67423647997126</v>
      </c>
      <c r="G40" s="160">
        <f>10*LOG(SUM(N27:N39))</f>
        <v>178.28679088387707</v>
      </c>
      <c r="J40" s="3">
        <f>10*LOG(SUM(J27:J39))</f>
        <v>11.139433523068368</v>
      </c>
      <c r="K40" s="3">
        <f>MAX(K27:K39)</f>
        <v>176</v>
      </c>
    </row>
    <row r="41" spans="1:14" x14ac:dyDescent="0.2">
      <c r="A41" s="92" t="s">
        <v>57</v>
      </c>
      <c r="B41" s="93"/>
      <c r="C41" s="93"/>
      <c r="D41" s="111">
        <f>10^((D40-'Source data'!$B$20)/'Source data'!$B$37)</f>
        <v>1148.4425891565204</v>
      </c>
      <c r="E41" s="112">
        <f>10^((E40-'Source data'!$B$21)/'Source data'!$B$37)</f>
        <v>8.1802840570747311</v>
      </c>
      <c r="F41" s="111">
        <f>10^((F40-'Source data'!$C$21)/'Source data'!$B$37)</f>
        <v>0.24049487094786934</v>
      </c>
      <c r="G41" s="113">
        <f>10^((G40-'Source data'!$D$21)/'Source data'!$B$37)</f>
        <v>1.944892836492415</v>
      </c>
    </row>
    <row r="42" spans="1:14" x14ac:dyDescent="0.2">
      <c r="A42" s="20" t="s">
        <v>58</v>
      </c>
      <c r="B42" s="18"/>
      <c r="C42" s="18"/>
      <c r="D42" s="108">
        <v>0</v>
      </c>
      <c r="E42" s="109">
        <v>0</v>
      </c>
      <c r="F42" s="108">
        <v>0</v>
      </c>
      <c r="G42" s="110">
        <v>0</v>
      </c>
    </row>
    <row r="43" spans="1:14" x14ac:dyDescent="0.2">
      <c r="A43" s="92" t="s">
        <v>59</v>
      </c>
      <c r="B43" s="93"/>
      <c r="C43" s="93"/>
      <c r="D43" s="179">
        <f>0.000001*PI()*D41^2-D42</f>
        <v>4.1435105783267865</v>
      </c>
      <c r="E43" s="180">
        <f>0.000001*PI()*E41^2-E42</f>
        <v>2.1022610405444154E-4</v>
      </c>
      <c r="F43" s="179">
        <f>0.000001*PI()*F41^2-F42</f>
        <v>1.8170275402265403E-7</v>
      </c>
      <c r="G43" s="181">
        <f>0.000001*PI()*G41^2-G42</f>
        <v>1.1883413961121681E-5</v>
      </c>
    </row>
    <row r="44" spans="1:14" ht="16" thickBot="1" x14ac:dyDescent="0.25">
      <c r="A44" s="94" t="s">
        <v>60</v>
      </c>
      <c r="B44" s="95"/>
      <c r="C44" s="95"/>
      <c r="D44" s="162">
        <f>D43/HLOOKUP($B$23,'Source data'!$B$25:$I$34,3,FALSE)</f>
        <v>1.180520977328923E-4</v>
      </c>
      <c r="E44" s="163">
        <f>E43/HLOOKUP($B$23,'Source data'!$B$25:$I$34,3,FALSE)</f>
        <v>5.9895183354067503E-9</v>
      </c>
      <c r="F44" s="164">
        <f>F43/HLOOKUP($B$23,'Source data'!$B$25:$I$34,3,FALSE)</f>
        <v>5.1768641278285427E-12</v>
      </c>
      <c r="G44" s="165">
        <f>G43/HLOOKUP($B$23,'Source data'!$B$25:$I$34,3,FALSE)</f>
        <v>3.3856844813589221E-10</v>
      </c>
      <c r="H44" s="7"/>
      <c r="I44" s="7"/>
    </row>
    <row r="45" spans="1:14" ht="16" thickBot="1" x14ac:dyDescent="0.25">
      <c r="F45" s="7"/>
      <c r="G45" s="7"/>
    </row>
    <row r="46" spans="1:14" ht="16" thickBot="1" x14ac:dyDescent="0.25">
      <c r="A46" s="16" t="s">
        <v>61</v>
      </c>
      <c r="B46" s="114" t="s">
        <v>33</v>
      </c>
      <c r="C46" s="115" t="s">
        <v>62</v>
      </c>
      <c r="F46" s="11"/>
      <c r="G46" s="11"/>
    </row>
    <row r="47" spans="1:14" x14ac:dyDescent="0.2">
      <c r="A47" s="97" t="s">
        <v>63</v>
      </c>
      <c r="B47" s="116">
        <f>D$43*HLOOKUP(B$23,'Source data'!B$25:I$34,4,FALSE)</f>
        <v>7.458319040988215E-2</v>
      </c>
      <c r="C47" s="176">
        <f>E43*HLOOKUP(B$23,'Source data'!B$25:I$34,4,FALSE)</f>
        <v>3.7840698729799475E-6</v>
      </c>
      <c r="E47" s="3"/>
    </row>
    <row r="48" spans="1:14" x14ac:dyDescent="0.2">
      <c r="A48" s="96" t="s">
        <v>64</v>
      </c>
      <c r="B48" s="117">
        <f>D$43*HLOOKUP(B$23,'Source data'!B$25:I$34,5,FALSE)</f>
        <v>0.24032361354295362</v>
      </c>
      <c r="C48" s="177">
        <f>G43*HLOOKUP(B$23,'Source data'!B$25:I$34,5,FALSE)</f>
        <v>6.8923800974505751E-7</v>
      </c>
      <c r="E48" s="3"/>
      <c r="F48" s="12"/>
      <c r="H48" s="2" t="s">
        <v>65</v>
      </c>
    </row>
    <row r="49" spans="1:14" x14ac:dyDescent="0.2">
      <c r="A49" s="96" t="s">
        <v>66</v>
      </c>
      <c r="B49" s="117">
        <f>D$43*HLOOKUP(B$23,'Source data'!B$25:I$34,6,FALSE)</f>
        <v>0</v>
      </c>
      <c r="C49" s="177">
        <f>F43*HLOOKUP(B$23,'Source data'!B$25:I$34,6,FALSE)</f>
        <v>0</v>
      </c>
      <c r="E49" s="3"/>
      <c r="H49" s="2" t="s">
        <v>67</v>
      </c>
    </row>
    <row r="50" spans="1:14" x14ac:dyDescent="0.2">
      <c r="A50" s="96" t="s">
        <v>68</v>
      </c>
      <c r="B50" s="117">
        <f>D$43*HLOOKUP(B$23,'Source data'!B$25:I$34,7,FALSE)</f>
        <v>0.795554031038743</v>
      </c>
      <c r="C50" s="177">
        <f>F43*HLOOKUP(B$23,'Source data'!B$25:I$34,7,FALSE)</f>
        <v>3.4886928772349573E-8</v>
      </c>
      <c r="E50" s="3"/>
      <c r="H50" s="2" t="s">
        <v>69</v>
      </c>
    </row>
    <row r="51" spans="1:14" x14ac:dyDescent="0.2">
      <c r="A51" s="96" t="s">
        <v>70</v>
      </c>
      <c r="B51" s="117">
        <f>D$43*HLOOKUP(B$23,'Source data'!B$25:I$34,8,FALSE)</f>
        <v>0.55108690691746265</v>
      </c>
      <c r="C51" s="177">
        <f>F43*HLOOKUP(B$23,'Source data'!B$25:I$34,8,FALSE)</f>
        <v>2.4166466285012987E-8</v>
      </c>
      <c r="E51" s="3"/>
      <c r="H51" s="2" t="s">
        <v>71</v>
      </c>
    </row>
    <row r="52" spans="1:14" x14ac:dyDescent="0.2">
      <c r="A52" s="96" t="s">
        <v>72</v>
      </c>
      <c r="B52" s="117">
        <f>D$43*HLOOKUP(B$23,'Source data'!B$25:I$34,9,FALSE)</f>
        <v>0</v>
      </c>
      <c r="C52" s="177">
        <f>F43*HLOOKUP(B$23,'Source data'!B$25:I$34,9,FALSE)</f>
        <v>0</v>
      </c>
      <c r="E52" s="3"/>
      <c r="H52" s="38" t="s">
        <v>73</v>
      </c>
      <c r="I52" s="38"/>
    </row>
    <row r="53" spans="1:14" ht="16" thickBot="1" x14ac:dyDescent="0.25">
      <c r="A53" s="96" t="s">
        <v>74</v>
      </c>
      <c r="B53" s="117">
        <f>D$43*HLOOKUP(B$23,'Source data'!B$25:I$34,10,FALSE)</f>
        <v>0.21960606065131968</v>
      </c>
      <c r="C53" s="177">
        <f>F43*HLOOKUP(B$23,'Source data'!B$25:I$34,10,FALSE)</f>
        <v>9.6302459632006634E-9</v>
      </c>
      <c r="E53" s="3"/>
    </row>
    <row r="54" spans="1:14" ht="16" thickBot="1" x14ac:dyDescent="0.25">
      <c r="A54" s="166" t="s">
        <v>75</v>
      </c>
      <c r="B54" s="167">
        <f>SUM(B47:B53)</f>
        <v>1.8811538025603611</v>
      </c>
      <c r="C54" s="178">
        <f>SUM(C47:C53)</f>
        <v>4.5419915237455674E-6</v>
      </c>
      <c r="H54" s="2" t="s">
        <v>76</v>
      </c>
      <c r="L54" s="10"/>
    </row>
    <row r="55" spans="1:14" x14ac:dyDescent="0.2">
      <c r="L55" s="10"/>
    </row>
    <row r="56" spans="1:14" x14ac:dyDescent="0.2">
      <c r="F56" s="11"/>
      <c r="G56" s="11"/>
      <c r="H56" s="11"/>
      <c r="I56" s="11"/>
      <c r="J56" s="11"/>
      <c r="K56" s="11"/>
      <c r="L56" s="183"/>
      <c r="M56" s="192"/>
      <c r="N56" s="192"/>
    </row>
    <row r="57" spans="1:14" ht="15" customHeight="1" x14ac:dyDescent="0.2">
      <c r="E57" s="18"/>
      <c r="F57" s="138"/>
      <c r="G57" s="138"/>
      <c r="H57" s="138"/>
      <c r="I57" s="140"/>
      <c r="J57" s="184"/>
      <c r="K57" s="183"/>
      <c r="L57" s="183"/>
      <c r="M57" s="192"/>
      <c r="N57" s="192"/>
    </row>
    <row r="58" spans="1:14" x14ac:dyDescent="0.2">
      <c r="E58" s="18"/>
      <c r="F58" s="140"/>
      <c r="G58" s="140"/>
      <c r="H58" s="140"/>
      <c r="I58" s="188"/>
      <c r="J58" s="189"/>
      <c r="K58" s="190"/>
      <c r="L58" s="191"/>
      <c r="M58" s="193"/>
      <c r="N58" s="194"/>
    </row>
    <row r="59" spans="1:14" x14ac:dyDescent="0.2">
      <c r="E59" s="18"/>
      <c r="F59" s="138"/>
      <c r="G59" s="138"/>
      <c r="H59" s="138"/>
      <c r="I59" s="182"/>
      <c r="J59" s="185"/>
      <c r="K59" s="183"/>
      <c r="L59" s="191"/>
      <c r="M59" s="193"/>
      <c r="N59" s="194"/>
    </row>
    <row r="60" spans="1:14" x14ac:dyDescent="0.2">
      <c r="E60" s="18"/>
      <c r="F60" s="138"/>
      <c r="G60" s="138"/>
      <c r="H60" s="138"/>
      <c r="I60" s="182"/>
      <c r="J60" s="185"/>
      <c r="K60" s="183"/>
      <c r="L60" s="191"/>
      <c r="M60" s="193"/>
      <c r="N60" s="194"/>
    </row>
    <row r="61" spans="1:14" x14ac:dyDescent="0.2">
      <c r="E61" s="18"/>
      <c r="F61" s="140"/>
      <c r="G61" s="140"/>
      <c r="H61" s="140"/>
      <c r="I61" s="188"/>
      <c r="J61" s="189"/>
      <c r="K61" s="190"/>
      <c r="L61" s="191"/>
      <c r="M61" s="193"/>
      <c r="N61" s="194"/>
    </row>
    <row r="62" spans="1:14" x14ac:dyDescent="0.2">
      <c r="E62" s="18"/>
      <c r="F62" s="138"/>
      <c r="G62" s="138"/>
      <c r="H62" s="138"/>
      <c r="I62" s="182"/>
      <c r="J62" s="186"/>
      <c r="K62" s="187"/>
      <c r="L62" s="183"/>
      <c r="M62" s="193"/>
      <c r="N62" s="194"/>
    </row>
    <row r="63" spans="1:14" x14ac:dyDescent="0.2">
      <c r="E63" s="18"/>
      <c r="F63" s="138"/>
      <c r="G63" s="138"/>
      <c r="H63" s="138"/>
      <c r="I63" s="182"/>
      <c r="J63" s="186"/>
      <c r="K63" s="187"/>
      <c r="L63" s="183"/>
      <c r="M63" s="193"/>
      <c r="N63" s="194"/>
    </row>
    <row r="64" spans="1:14" x14ac:dyDescent="0.2">
      <c r="E64" s="18"/>
      <c r="F64" s="138"/>
      <c r="G64" s="138"/>
      <c r="H64" s="138"/>
      <c r="I64" s="182"/>
      <c r="J64" s="186"/>
      <c r="K64" s="187"/>
      <c r="L64" s="183"/>
      <c r="M64" s="193"/>
      <c r="N64" s="194"/>
    </row>
    <row r="65" spans="4:11" x14ac:dyDescent="0.2">
      <c r="E65" s="18"/>
      <c r="F65" s="18"/>
      <c r="G65" s="18"/>
      <c r="H65" s="18"/>
      <c r="I65" s="18"/>
      <c r="J65" s="18"/>
    </row>
    <row r="66" spans="4:11" x14ac:dyDescent="0.2">
      <c r="E66" s="18"/>
      <c r="F66" s="18"/>
      <c r="G66" s="18"/>
      <c r="H66" s="18"/>
      <c r="I66" s="18"/>
      <c r="J66" s="18"/>
    </row>
    <row r="67" spans="4:11" x14ac:dyDescent="0.2">
      <c r="F67" s="11"/>
      <c r="G67" s="11"/>
      <c r="H67" s="11"/>
      <c r="I67" s="11"/>
      <c r="J67" s="11"/>
      <c r="K67" s="183"/>
    </row>
    <row r="68" spans="4:11" x14ac:dyDescent="0.2">
      <c r="E68" s="18"/>
      <c r="F68" s="138"/>
      <c r="G68" s="138"/>
      <c r="H68" s="140"/>
      <c r="I68" s="184"/>
      <c r="J68" s="183"/>
      <c r="K68" s="183"/>
    </row>
    <row r="69" spans="4:11" x14ac:dyDescent="0.2">
      <c r="E69" s="18"/>
      <c r="F69" s="140"/>
      <c r="G69" s="140"/>
      <c r="H69" s="188"/>
      <c r="I69" s="196"/>
      <c r="J69" s="195"/>
      <c r="K69" s="190"/>
    </row>
    <row r="70" spans="4:11" x14ac:dyDescent="0.2">
      <c r="D70" s="18"/>
      <c r="E70" s="18"/>
      <c r="F70" s="140"/>
      <c r="G70" s="140"/>
      <c r="H70" s="182"/>
      <c r="I70" s="186"/>
      <c r="J70" s="187"/>
      <c r="K70" s="190"/>
    </row>
    <row r="71" spans="4:11" x14ac:dyDescent="0.2">
      <c r="D71" s="18"/>
      <c r="E71" s="18"/>
      <c r="F71" s="140"/>
      <c r="G71" s="140"/>
      <c r="H71" s="182"/>
      <c r="I71" s="186"/>
      <c r="J71" s="187"/>
      <c r="K71" s="190"/>
    </row>
    <row r="72" spans="4:11" x14ac:dyDescent="0.2">
      <c r="D72" s="18"/>
      <c r="E72" s="18"/>
      <c r="F72" s="140"/>
      <c r="G72" s="140"/>
      <c r="H72" s="188"/>
      <c r="I72" s="196"/>
      <c r="J72" s="195"/>
      <c r="K72" s="190"/>
    </row>
    <row r="73" spans="4:11" x14ac:dyDescent="0.2">
      <c r="D73" s="18"/>
      <c r="E73" s="18"/>
      <c r="F73" s="140"/>
      <c r="G73" s="140"/>
      <c r="H73" s="182"/>
      <c r="I73" s="186"/>
      <c r="J73" s="187"/>
      <c r="K73" s="183"/>
    </row>
    <row r="74" spans="4:11" x14ac:dyDescent="0.2">
      <c r="D74" s="18"/>
      <c r="E74" s="18"/>
      <c r="F74" s="140"/>
      <c r="G74" s="140"/>
      <c r="H74" s="182"/>
      <c r="I74" s="186"/>
      <c r="J74" s="187"/>
      <c r="K74" s="183"/>
    </row>
    <row r="75" spans="4:11" x14ac:dyDescent="0.2">
      <c r="D75" s="18"/>
      <c r="E75" s="18"/>
      <c r="F75" s="140"/>
      <c r="G75" s="140"/>
      <c r="H75" s="182"/>
      <c r="I75" s="186"/>
      <c r="J75" s="187"/>
      <c r="K75" s="183"/>
    </row>
    <row r="76" spans="4:11" x14ac:dyDescent="0.2">
      <c r="D76" s="18"/>
      <c r="E76" s="138"/>
      <c r="F76" s="138"/>
      <c r="G76" s="138"/>
      <c r="H76" s="138"/>
      <c r="I76" s="138"/>
      <c r="J76" s="182"/>
    </row>
    <row r="77" spans="4:11" x14ac:dyDescent="0.2">
      <c r="D77" s="18"/>
      <c r="E77" s="138"/>
      <c r="F77" s="138"/>
      <c r="H77" s="18"/>
      <c r="I77" s="18"/>
      <c r="J77" s="18"/>
    </row>
    <row r="78" spans="4:11" x14ac:dyDescent="0.2">
      <c r="D78" s="18"/>
      <c r="E78" s="138"/>
      <c r="F78" s="138"/>
      <c r="G78" s="18"/>
      <c r="H78" s="18"/>
      <c r="I78" s="18"/>
      <c r="J78" s="18"/>
    </row>
    <row r="79" spans="4:11" x14ac:dyDescent="0.2">
      <c r="D79" s="18"/>
      <c r="E79" s="138"/>
      <c r="F79" s="138"/>
      <c r="G79" s="18"/>
      <c r="H79" s="18"/>
      <c r="I79" s="18"/>
      <c r="J79" s="18"/>
    </row>
    <row r="80" spans="4:11" x14ac:dyDescent="0.2">
      <c r="D80" s="18"/>
      <c r="E80" s="138"/>
      <c r="F80" s="138"/>
      <c r="G80" s="18"/>
      <c r="H80" s="18"/>
      <c r="I80" s="18"/>
      <c r="J80" s="18"/>
    </row>
    <row r="81" spans="4:10" x14ac:dyDescent="0.2">
      <c r="D81" s="18"/>
      <c r="E81" s="18"/>
      <c r="F81" s="18"/>
      <c r="G81" s="18"/>
      <c r="H81" s="18"/>
      <c r="I81" s="18"/>
      <c r="J81" s="18"/>
    </row>
    <row r="99" spans="1:9" x14ac:dyDescent="0.2">
      <c r="H99" s="7"/>
      <c r="I99" s="7"/>
    </row>
    <row r="100" spans="1:9" x14ac:dyDescent="0.2">
      <c r="E100" s="7"/>
      <c r="F100" s="7"/>
      <c r="G100" s="7"/>
      <c r="H100" s="7"/>
      <c r="I100" s="7"/>
    </row>
    <row r="101" spans="1:9" x14ac:dyDescent="0.2">
      <c r="E101" s="7"/>
      <c r="F101" s="7"/>
      <c r="G101" s="7"/>
      <c r="H101" s="7"/>
      <c r="I101" s="7"/>
    </row>
    <row r="102" spans="1:9" x14ac:dyDescent="0.2">
      <c r="F102" s="7"/>
      <c r="G102" s="7"/>
      <c r="H102" s="7"/>
      <c r="I102" s="7"/>
    </row>
    <row r="103" spans="1:9" x14ac:dyDescent="0.2">
      <c r="F103" s="7"/>
      <c r="G103" s="7"/>
    </row>
    <row r="105" spans="1:9" x14ac:dyDescent="0.2">
      <c r="H105" s="10"/>
      <c r="I105" s="10"/>
    </row>
    <row r="106" spans="1:9" x14ac:dyDescent="0.2">
      <c r="F106" s="10"/>
      <c r="G106" s="10"/>
      <c r="H106" s="7"/>
      <c r="I106" s="7"/>
    </row>
    <row r="107" spans="1:9" x14ac:dyDescent="0.2">
      <c r="F107" s="7"/>
      <c r="G107" s="7"/>
      <c r="H107" s="7"/>
      <c r="I107" s="7"/>
    </row>
    <row r="108" spans="1:9" x14ac:dyDescent="0.2">
      <c r="A108" s="1"/>
      <c r="F108" s="7"/>
      <c r="G108" s="7"/>
    </row>
    <row r="109" spans="1:9" x14ac:dyDescent="0.2">
      <c r="B109" s="12"/>
    </row>
    <row r="110" spans="1:9" x14ac:dyDescent="0.2">
      <c r="A110" s="6"/>
      <c r="B110" s="12"/>
      <c r="E110" s="12"/>
      <c r="F110" s="12"/>
    </row>
    <row r="111" spans="1:9" x14ac:dyDescent="0.2">
      <c r="A111" s="6"/>
      <c r="B111" s="12"/>
      <c r="E111" s="12"/>
      <c r="F111" s="12"/>
    </row>
    <row r="112" spans="1:9" x14ac:dyDescent="0.2">
      <c r="A112" s="6"/>
      <c r="B112" s="12"/>
      <c r="D112" s="12"/>
      <c r="E112" s="12"/>
      <c r="F112" s="12"/>
    </row>
    <row r="113" spans="1:6" x14ac:dyDescent="0.2">
      <c r="A113" s="6"/>
      <c r="B113" s="12"/>
      <c r="D113" s="12"/>
      <c r="E113" s="12"/>
      <c r="F113" s="12"/>
    </row>
    <row r="114" spans="1:6" x14ac:dyDescent="0.2">
      <c r="A114" s="6"/>
      <c r="B114" s="12"/>
      <c r="D114" s="12"/>
      <c r="E114" s="12"/>
      <c r="F114" s="12"/>
    </row>
    <row r="115" spans="1:6" x14ac:dyDescent="0.2">
      <c r="A115" s="6"/>
      <c r="B115" s="12"/>
      <c r="C115" s="13"/>
      <c r="D115" s="12"/>
      <c r="E115" s="12"/>
      <c r="F115" s="12"/>
    </row>
    <row r="116" spans="1:6" x14ac:dyDescent="0.2">
      <c r="A116" s="6"/>
      <c r="D116" s="12"/>
      <c r="E116" s="12"/>
      <c r="F116" s="12"/>
    </row>
    <row r="117" spans="1:6" x14ac:dyDescent="0.2">
      <c r="D117" s="12"/>
    </row>
    <row r="118" spans="1:6" x14ac:dyDescent="0.2">
      <c r="D118" s="12"/>
    </row>
  </sheetData>
  <sheetProtection algorithmName="SHA-512" hashValue="oVlZvi/MHOB9BCoy8s+W/lIh5dEudkeqzfSOcUgj8aJU52TzjCLfPFl/Pa9uC33hfLnRYrXOuLTx/JyuwkjhRg==" saltValue="YSCJLCFf4st3sbD5owtZSA==" spinCount="100000" sheet="1" objects="1" scenarios="1"/>
  <phoneticPr fontId="3" type="noConversion"/>
  <conditionalFormatting sqref="B27:B39">
    <cfRule type="cellIs" dxfId="3" priority="2" operator="greaterThan">
      <formula>0</formula>
    </cfRule>
  </conditionalFormatting>
  <conditionalFormatting sqref="C27:C39">
    <cfRule type="containsText" dxfId="2" priority="1" operator="containsText" text="YES">
      <formula>NOT(ISERROR(SEARCH("YES",C27)))</formula>
    </cfRule>
  </conditionalFormatting>
  <dataValidations count="2">
    <dataValidation type="list" allowBlank="1" showInputMessage="1" showErrorMessage="1" sqref="C27:C39" xr:uid="{586D0C13-7435-484E-AD62-49321A612784}">
      <formula1>"YES, NO"</formula1>
    </dataValidation>
    <dataValidation type="whole" allowBlank="1" showInputMessage="1" showErrorMessage="1" sqref="B27:B39" xr:uid="{85822444-B53C-4739-BA71-69AAA3CD286E}">
      <formula1>0</formula1>
      <formula2>100</formula2>
    </dataValidation>
  </dataValidations>
  <hyperlinks>
    <hyperlink ref="H52" r:id="rId1" xr:uid="{70C86BA2-2DBE-4BF1-8905-10F0532A9E72}"/>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C89F2-BA76-426F-BD57-D86EAC6C9E17}">
  <dimension ref="A1:T163"/>
  <sheetViews>
    <sheetView workbookViewId="0">
      <selection activeCell="K25" sqref="K25"/>
    </sheetView>
  </sheetViews>
  <sheetFormatPr baseColWidth="10" defaultColWidth="9.1640625" defaultRowHeight="15" x14ac:dyDescent="0.2"/>
  <cols>
    <col min="1" max="1" width="28.33203125" style="2" customWidth="1"/>
    <col min="2" max="2" width="12.6640625" style="2" customWidth="1"/>
    <col min="3" max="11" width="15.5" style="2" customWidth="1"/>
    <col min="12" max="12" width="12.6640625" style="2" customWidth="1"/>
    <col min="13" max="15" width="12.6640625" style="14" customWidth="1"/>
    <col min="16" max="16" width="14.33203125" style="2" customWidth="1"/>
    <col min="17" max="17" width="12" style="2" bestFit="1" customWidth="1"/>
    <col min="18" max="16384" width="9.1640625" style="2"/>
  </cols>
  <sheetData>
    <row r="1" spans="1:18" ht="19" x14ac:dyDescent="0.25">
      <c r="A1" s="34" t="s">
        <v>77</v>
      </c>
      <c r="B1" s="35"/>
      <c r="C1" s="35"/>
      <c r="D1" s="36" t="s">
        <v>78</v>
      </c>
      <c r="E1" s="36"/>
      <c r="F1" s="36"/>
    </row>
    <row r="2" spans="1:18" x14ac:dyDescent="0.2">
      <c r="I2" s="11"/>
    </row>
    <row r="3" spans="1:18" x14ac:dyDescent="0.2">
      <c r="A3" s="2" t="s">
        <v>79</v>
      </c>
    </row>
    <row r="4" spans="1:18" x14ac:dyDescent="0.2">
      <c r="A4" s="2" t="s">
        <v>80</v>
      </c>
      <c r="K4" s="15"/>
    </row>
    <row r="5" spans="1:18" x14ac:dyDescent="0.2">
      <c r="A5" s="2" t="s">
        <v>81</v>
      </c>
    </row>
    <row r="7" spans="1:18" ht="16" thickBot="1" x14ac:dyDescent="0.25">
      <c r="A7" s="1"/>
      <c r="J7" s="18"/>
    </row>
    <row r="8" spans="1:18" x14ac:dyDescent="0.2">
      <c r="A8" s="16" t="s">
        <v>82</v>
      </c>
      <c r="B8" s="137"/>
      <c r="C8" s="137" t="s">
        <v>83</v>
      </c>
      <c r="D8" s="137" t="s">
        <v>84</v>
      </c>
      <c r="E8" s="137" t="s">
        <v>85</v>
      </c>
      <c r="F8" s="137" t="s">
        <v>86</v>
      </c>
      <c r="G8" s="137" t="s">
        <v>87</v>
      </c>
      <c r="H8" s="137" t="s">
        <v>88</v>
      </c>
      <c r="I8" s="137" t="s">
        <v>88</v>
      </c>
      <c r="J8" s="137" t="s">
        <v>88</v>
      </c>
      <c r="K8" s="197" t="s">
        <v>88</v>
      </c>
      <c r="L8" s="18"/>
      <c r="M8" s="18"/>
      <c r="N8" s="18"/>
      <c r="O8" s="2"/>
      <c r="P8" s="14"/>
      <c r="Q8" s="14"/>
      <c r="R8" s="14"/>
    </row>
    <row r="9" spans="1:18" x14ac:dyDescent="0.2">
      <c r="A9" s="19" t="s">
        <v>89</v>
      </c>
      <c r="B9" s="138" t="s">
        <v>42</v>
      </c>
      <c r="C9" s="138" t="s">
        <v>90</v>
      </c>
      <c r="D9" s="138" t="s">
        <v>91</v>
      </c>
      <c r="E9" s="138" t="s">
        <v>92</v>
      </c>
      <c r="F9" s="138" t="s">
        <v>93</v>
      </c>
      <c r="G9" s="138"/>
      <c r="H9" s="138" t="s">
        <v>94</v>
      </c>
      <c r="I9" s="138" t="s">
        <v>95</v>
      </c>
      <c r="J9" s="138" t="s">
        <v>96</v>
      </c>
      <c r="K9" s="139" t="s">
        <v>96</v>
      </c>
      <c r="L9" s="11" t="str">
        <f>IF(N46,"","WARNING")</f>
        <v/>
      </c>
      <c r="M9" s="2"/>
      <c r="N9" s="18"/>
      <c r="O9" s="2"/>
      <c r="P9" s="14"/>
      <c r="Q9" s="14"/>
      <c r="R9" s="14"/>
    </row>
    <row r="10" spans="1:18" x14ac:dyDescent="0.2">
      <c r="A10" s="20" t="s">
        <v>97</v>
      </c>
      <c r="B10" s="138">
        <v>195</v>
      </c>
      <c r="C10" s="138">
        <v>198</v>
      </c>
      <c r="D10" s="138">
        <v>198</v>
      </c>
      <c r="E10" s="138">
        <v>189</v>
      </c>
      <c r="F10" s="138">
        <v>165</v>
      </c>
      <c r="G10" s="140">
        <v>180</v>
      </c>
      <c r="H10" s="138">
        <v>176</v>
      </c>
      <c r="I10" s="138">
        <v>180</v>
      </c>
      <c r="J10" s="138">
        <v>181</v>
      </c>
      <c r="K10" s="139">
        <v>181</v>
      </c>
      <c r="L10" s="11" t="s">
        <v>98</v>
      </c>
      <c r="M10" s="2"/>
      <c r="N10" s="18"/>
      <c r="O10" s="2"/>
      <c r="P10" s="14"/>
      <c r="Q10" s="14"/>
      <c r="R10" s="14"/>
    </row>
    <row r="11" spans="1:18" x14ac:dyDescent="0.2">
      <c r="A11" s="20" t="s">
        <v>99</v>
      </c>
      <c r="B11" s="138">
        <v>1</v>
      </c>
      <c r="C11" s="138">
        <v>8</v>
      </c>
      <c r="D11" s="138">
        <v>8</v>
      </c>
      <c r="E11" s="138">
        <v>9</v>
      </c>
      <c r="F11" s="138">
        <v>9</v>
      </c>
      <c r="G11" s="140">
        <v>0.7</v>
      </c>
      <c r="H11" s="138">
        <v>0.8</v>
      </c>
      <c r="I11" s="138">
        <v>1</v>
      </c>
      <c r="J11" s="138">
        <v>8</v>
      </c>
      <c r="K11" s="139">
        <v>8</v>
      </c>
      <c r="L11" s="11" t="str">
        <f>IF(N46,"is","is NOT")</f>
        <v>is</v>
      </c>
      <c r="M11" s="2"/>
      <c r="N11" s="18"/>
      <c r="O11" s="2"/>
      <c r="P11" s="14"/>
      <c r="Q11" s="14"/>
      <c r="R11" s="14"/>
    </row>
    <row r="12" spans="1:18" x14ac:dyDescent="0.2">
      <c r="A12" s="20" t="s">
        <v>100</v>
      </c>
      <c r="B12" s="138">
        <v>5</v>
      </c>
      <c r="C12" s="138">
        <v>12</v>
      </c>
      <c r="D12" s="138">
        <v>12</v>
      </c>
      <c r="E12" s="138">
        <v>11</v>
      </c>
      <c r="F12" s="138">
        <v>11</v>
      </c>
      <c r="G12" s="140">
        <v>1.5</v>
      </c>
      <c r="H12" s="138">
        <v>1.2</v>
      </c>
      <c r="I12" s="138">
        <v>2</v>
      </c>
      <c r="J12" s="138">
        <v>11</v>
      </c>
      <c r="K12" s="139">
        <v>11</v>
      </c>
      <c r="L12" s="11" t="s">
        <v>26</v>
      </c>
      <c r="M12" s="2"/>
      <c r="N12" s="18"/>
      <c r="O12" s="2"/>
      <c r="P12" s="14"/>
      <c r="Q12" s="14"/>
      <c r="R12" s="14"/>
    </row>
    <row r="13" spans="1:18" ht="16" thickBot="1" x14ac:dyDescent="0.25">
      <c r="A13" s="21" t="s">
        <v>101</v>
      </c>
      <c r="B13" s="141">
        <v>0.08</v>
      </c>
      <c r="C13" s="141">
        <v>0.5</v>
      </c>
      <c r="D13" s="141">
        <v>1</v>
      </c>
      <c r="E13" s="141">
        <v>0.32</v>
      </c>
      <c r="F13" s="141">
        <v>0.09</v>
      </c>
      <c r="G13" s="141">
        <v>0.04</v>
      </c>
      <c r="H13" s="141">
        <v>0.11</v>
      </c>
      <c r="I13" s="141">
        <v>0.11</v>
      </c>
      <c r="J13" s="141">
        <v>0.1</v>
      </c>
      <c r="K13" s="198">
        <v>0.05</v>
      </c>
      <c r="L13" s="138" t="s">
        <v>102</v>
      </c>
      <c r="M13" s="2"/>
      <c r="N13" s="18"/>
      <c r="O13" s="2"/>
      <c r="P13" s="14"/>
      <c r="Q13" s="14"/>
      <c r="R13" s="14"/>
    </row>
    <row r="14" spans="1:18" ht="16" thickBot="1" x14ac:dyDescent="0.25">
      <c r="A14" s="133"/>
      <c r="B14" s="18"/>
      <c r="C14" s="18"/>
      <c r="D14" s="18"/>
      <c r="E14" s="18"/>
      <c r="F14" s="18"/>
      <c r="G14" s="18"/>
      <c r="J14" s="18"/>
      <c r="L14" s="14"/>
    </row>
    <row r="15" spans="1:18" x14ac:dyDescent="0.2">
      <c r="A15" s="16" t="s">
        <v>103</v>
      </c>
      <c r="B15" s="17"/>
      <c r="C15" s="17"/>
      <c r="D15" s="25"/>
      <c r="E15" s="18"/>
      <c r="F15" s="18"/>
      <c r="I15" s="18" t="s">
        <v>104</v>
      </c>
      <c r="J15" s="14"/>
      <c r="K15" s="14"/>
      <c r="L15" s="14"/>
      <c r="M15" s="2"/>
      <c r="N15" s="2"/>
      <c r="O15" s="2"/>
    </row>
    <row r="16" spans="1:18" x14ac:dyDescent="0.2">
      <c r="A16" s="19" t="s">
        <v>105</v>
      </c>
      <c r="B16" s="18"/>
      <c r="C16" s="18"/>
      <c r="D16" s="135"/>
      <c r="E16" s="18"/>
      <c r="F16" s="18"/>
      <c r="I16" s="18" t="s">
        <v>106</v>
      </c>
      <c r="J16" s="14"/>
      <c r="K16" s="14"/>
      <c r="L16" s="14"/>
      <c r="M16" s="2"/>
      <c r="N16" s="2"/>
      <c r="O16" s="2"/>
    </row>
    <row r="17" spans="1:15" x14ac:dyDescent="0.2">
      <c r="A17" s="19"/>
      <c r="B17" s="138" t="s">
        <v>107</v>
      </c>
      <c r="C17" s="138" t="s">
        <v>108</v>
      </c>
      <c r="D17" s="142" t="s">
        <v>109</v>
      </c>
      <c r="E17" s="18"/>
      <c r="F17" s="18"/>
      <c r="I17" s="134" t="s">
        <v>110</v>
      </c>
      <c r="J17" s="14"/>
      <c r="K17" s="14"/>
      <c r="L17" s="14"/>
      <c r="M17" s="2"/>
      <c r="N17" s="2"/>
      <c r="O17" s="2"/>
    </row>
    <row r="18" spans="1:15" x14ac:dyDescent="0.2">
      <c r="A18" s="19"/>
      <c r="B18" s="138" t="s">
        <v>111</v>
      </c>
      <c r="C18" s="138" t="s">
        <v>112</v>
      </c>
      <c r="D18" s="142" t="s">
        <v>113</v>
      </c>
      <c r="E18" s="18"/>
      <c r="F18" s="18"/>
      <c r="I18" s="18" t="s">
        <v>114</v>
      </c>
      <c r="J18" s="14"/>
      <c r="K18" s="14"/>
      <c r="L18" s="14"/>
      <c r="M18" s="2"/>
      <c r="N18" s="2"/>
      <c r="O18" s="2"/>
    </row>
    <row r="19" spans="1:15" x14ac:dyDescent="0.2">
      <c r="A19" s="19"/>
      <c r="B19" s="143" t="s">
        <v>115</v>
      </c>
      <c r="C19" s="138" t="s">
        <v>116</v>
      </c>
      <c r="D19" s="142" t="s">
        <v>117</v>
      </c>
      <c r="E19" s="18"/>
      <c r="F19" s="18"/>
      <c r="G19" s="18"/>
      <c r="I19" s="14"/>
      <c r="J19" s="14"/>
      <c r="K19" s="14"/>
      <c r="L19" s="14"/>
      <c r="M19" s="2"/>
      <c r="N19" s="2"/>
      <c r="O19" s="2"/>
    </row>
    <row r="20" spans="1:15" x14ac:dyDescent="0.2">
      <c r="A20" s="20" t="s">
        <v>118</v>
      </c>
      <c r="B20" s="138">
        <v>120</v>
      </c>
      <c r="C20" s="138">
        <v>120</v>
      </c>
      <c r="D20" s="142">
        <v>120</v>
      </c>
      <c r="E20" s="18"/>
      <c r="F20" s="18"/>
      <c r="G20" s="18"/>
      <c r="I20" s="14"/>
      <c r="J20" s="14"/>
      <c r="K20" s="14"/>
      <c r="L20" s="14"/>
      <c r="M20" s="2"/>
      <c r="N20" s="2"/>
      <c r="O20" s="2"/>
    </row>
    <row r="21" spans="1:15" ht="16" thickBot="1" x14ac:dyDescent="0.25">
      <c r="A21" s="21" t="s">
        <v>119</v>
      </c>
      <c r="B21" s="144">
        <v>199</v>
      </c>
      <c r="C21" s="144">
        <v>198</v>
      </c>
      <c r="D21" s="145">
        <v>173</v>
      </c>
      <c r="E21" s="18"/>
      <c r="F21" s="18"/>
      <c r="G21" s="18"/>
      <c r="I21" s="14"/>
      <c r="J21" s="14"/>
      <c r="K21" s="14"/>
      <c r="L21" s="14"/>
      <c r="M21" s="2"/>
      <c r="N21" s="2"/>
      <c r="O21" s="2"/>
    </row>
    <row r="22" spans="1:15" ht="16" thickBot="1" x14ac:dyDescent="0.25">
      <c r="A22" s="18"/>
      <c r="B22" s="18"/>
      <c r="C22" s="18"/>
      <c r="D22" s="18"/>
      <c r="E22" s="18"/>
      <c r="F22" s="18"/>
      <c r="G22" s="18"/>
      <c r="I22" s="14"/>
      <c r="J22" s="18"/>
      <c r="K22" s="18"/>
      <c r="L22" s="14"/>
      <c r="O22" s="2"/>
    </row>
    <row r="23" spans="1:15" x14ac:dyDescent="0.2">
      <c r="A23" s="16" t="s">
        <v>120</v>
      </c>
      <c r="B23" s="17"/>
      <c r="C23" s="17"/>
      <c r="D23" s="17"/>
      <c r="E23" s="17"/>
      <c r="F23" s="17"/>
      <c r="G23" s="17"/>
      <c r="H23" s="17"/>
      <c r="I23" s="25"/>
      <c r="J23" s="18"/>
      <c r="K23" s="18"/>
      <c r="L23" s="14"/>
      <c r="O23" s="2"/>
    </row>
    <row r="24" spans="1:15" x14ac:dyDescent="0.2">
      <c r="A24" s="19" t="s">
        <v>121</v>
      </c>
      <c r="B24" s="18"/>
      <c r="C24" s="18"/>
      <c r="D24" s="18"/>
      <c r="E24" s="18"/>
      <c r="F24" s="18"/>
      <c r="G24" s="18"/>
      <c r="H24" s="18"/>
      <c r="I24" s="135"/>
      <c r="J24" s="18"/>
      <c r="K24" s="18"/>
      <c r="L24" s="14"/>
      <c r="O24" s="2"/>
    </row>
    <row r="25" spans="1:15" x14ac:dyDescent="0.2">
      <c r="A25" s="22" t="s">
        <v>122</v>
      </c>
      <c r="B25" s="138" t="s">
        <v>123</v>
      </c>
      <c r="C25" s="138" t="s">
        <v>124</v>
      </c>
      <c r="D25" s="138" t="s">
        <v>125</v>
      </c>
      <c r="E25" s="138" t="s">
        <v>126</v>
      </c>
      <c r="F25" s="138" t="s">
        <v>127</v>
      </c>
      <c r="G25" s="138" t="s">
        <v>128</v>
      </c>
      <c r="H25" s="138" t="s">
        <v>129</v>
      </c>
      <c r="I25" s="139" t="s">
        <v>130</v>
      </c>
      <c r="J25" s="18"/>
      <c r="K25" s="18"/>
      <c r="L25" s="14"/>
      <c r="O25" s="2"/>
    </row>
    <row r="26" spans="1:15" ht="32" x14ac:dyDescent="0.2">
      <c r="A26" s="23" t="s">
        <v>131</v>
      </c>
      <c r="B26" s="149" t="s">
        <v>132</v>
      </c>
      <c r="C26" s="149" t="s">
        <v>133</v>
      </c>
      <c r="D26" s="149" t="s">
        <v>134</v>
      </c>
      <c r="E26" s="149" t="s">
        <v>135</v>
      </c>
      <c r="F26" s="149" t="s">
        <v>136</v>
      </c>
      <c r="G26" s="149" t="s">
        <v>137</v>
      </c>
      <c r="H26" s="149" t="s">
        <v>138</v>
      </c>
      <c r="I26" s="147" t="s">
        <v>139</v>
      </c>
      <c r="J26" s="18"/>
      <c r="K26" s="18"/>
      <c r="L26" s="14"/>
      <c r="N26" s="24"/>
      <c r="O26" s="2"/>
    </row>
    <row r="27" spans="1:15" ht="16" x14ac:dyDescent="0.2">
      <c r="A27" s="23" t="s">
        <v>140</v>
      </c>
      <c r="B27" s="146" t="s">
        <v>141</v>
      </c>
      <c r="C27" s="146" t="s">
        <v>142</v>
      </c>
      <c r="D27" s="146" t="s">
        <v>143</v>
      </c>
      <c r="E27" s="146" t="s">
        <v>144</v>
      </c>
      <c r="F27" s="146" t="s">
        <v>145</v>
      </c>
      <c r="G27" s="146" t="s">
        <v>146</v>
      </c>
      <c r="H27" s="146" t="s">
        <v>147</v>
      </c>
      <c r="I27" s="139">
        <v>100</v>
      </c>
      <c r="J27" s="18"/>
      <c r="K27" s="18"/>
      <c r="L27" s="14"/>
      <c r="O27" s="2"/>
    </row>
    <row r="28" spans="1:15" x14ac:dyDescent="0.2">
      <c r="A28" s="23" t="s">
        <v>63</v>
      </c>
      <c r="B28" s="138">
        <v>2.7E-2</v>
      </c>
      <c r="C28" s="138">
        <v>8.0000000000000002E-3</v>
      </c>
      <c r="D28" s="138">
        <v>0.02</v>
      </c>
      <c r="E28" s="138">
        <v>1.7999999999999999E-2</v>
      </c>
      <c r="F28" s="138">
        <v>8.9999999999999993E-3</v>
      </c>
      <c r="G28" s="138">
        <v>0.01</v>
      </c>
      <c r="H28" s="138">
        <v>3.2000000000000001E-2</v>
      </c>
      <c r="I28" s="139">
        <v>1</v>
      </c>
      <c r="J28" s="18"/>
      <c r="K28" s="18"/>
      <c r="L28" s="14"/>
      <c r="O28" s="2"/>
    </row>
    <row r="29" spans="1:15" x14ac:dyDescent="0.2">
      <c r="A29" s="23" t="s">
        <v>64</v>
      </c>
      <c r="B29" s="138">
        <v>0.33600000000000002</v>
      </c>
      <c r="C29" s="138">
        <v>0.09</v>
      </c>
      <c r="D29" s="138">
        <v>0.39700000000000002</v>
      </c>
      <c r="E29" s="138">
        <v>5.8000000000000003E-2</v>
      </c>
      <c r="F29" s="138">
        <v>0.308</v>
      </c>
      <c r="G29" s="138">
        <v>0.152</v>
      </c>
      <c r="H29" s="138">
        <v>0.40200000000000002</v>
      </c>
      <c r="I29" s="139">
        <v>2</v>
      </c>
      <c r="J29" s="18"/>
      <c r="K29" s="18"/>
      <c r="L29" s="14"/>
      <c r="O29" s="2"/>
    </row>
    <row r="30" spans="1:15" x14ac:dyDescent="0.2">
      <c r="A30" s="23" t="s">
        <v>66</v>
      </c>
      <c r="B30" s="138">
        <v>0.121</v>
      </c>
      <c r="C30" s="138">
        <v>3.0000000000000001E-3</v>
      </c>
      <c r="D30" s="138"/>
      <c r="E30" s="138"/>
      <c r="F30" s="138"/>
      <c r="G30" s="138">
        <v>4.0000000000000001E-3</v>
      </c>
      <c r="H30" s="138"/>
      <c r="I30" s="139">
        <v>3</v>
      </c>
      <c r="J30" s="18"/>
      <c r="K30" s="18"/>
      <c r="L30" s="14"/>
      <c r="O30" s="2"/>
    </row>
    <row r="31" spans="1:15" x14ac:dyDescent="0.2">
      <c r="A31" s="23" t="s">
        <v>68</v>
      </c>
      <c r="B31" s="138"/>
      <c r="C31" s="138">
        <v>2.9000000000000001E-2</v>
      </c>
      <c r="D31" s="138"/>
      <c r="E31" s="138">
        <v>0.192</v>
      </c>
      <c r="F31" s="138">
        <v>1.4E-2</v>
      </c>
      <c r="G31" s="138"/>
      <c r="H31" s="138"/>
      <c r="I31" s="139">
        <v>4</v>
      </c>
      <c r="J31" s="18"/>
      <c r="L31" s="14" t="s">
        <v>148</v>
      </c>
    </row>
    <row r="32" spans="1:15" x14ac:dyDescent="0.2">
      <c r="A32" s="23" t="s">
        <v>70</v>
      </c>
      <c r="B32" s="138"/>
      <c r="C32" s="138"/>
      <c r="D32" s="138"/>
      <c r="E32" s="138">
        <v>0.13300000000000001</v>
      </c>
      <c r="F32" s="138"/>
      <c r="G32" s="138"/>
      <c r="H32" s="138"/>
      <c r="I32" s="139">
        <v>5</v>
      </c>
      <c r="J32" s="18"/>
      <c r="L32" s="14">
        <f t="shared" ref="L32:L43" si="0">B51</f>
        <v>8</v>
      </c>
      <c r="M32" s="14">
        <f t="shared" ref="M32:M44" si="1">$B$21-(C$45+10*LOG(($L32/C$43)^(2*C$41)/((1+($L32/C$43)^2)^C$41*(1+($L32/C$44)^2)^C$42)))</f>
        <v>200.29034805552683</v>
      </c>
      <c r="N32" s="14">
        <f t="shared" ref="N32:N44" si="2">$C$21-(D$45+10*LOG(($L32/D$43)^(2*D$41)/((1+($L32/D$43)^2)^D$41*(1+($L32/D$44)^2)^D$42)))</f>
        <v>202.35609720207466</v>
      </c>
      <c r="O32" s="14">
        <f t="shared" ref="O32:O44" si="3">$D$21-(E$45+10*LOG(($L32/E$43)^(2*E$41)/((1+($L32/E$43)^2)^E$41*(1+($L32/E$44)^2)^E$42)))</f>
        <v>180.8822163813378</v>
      </c>
    </row>
    <row r="33" spans="1:15" ht="15.75" customHeight="1" x14ac:dyDescent="0.2">
      <c r="A33" s="23" t="s">
        <v>72</v>
      </c>
      <c r="B33" s="138"/>
      <c r="C33" s="138"/>
      <c r="D33" s="138"/>
      <c r="E33" s="138"/>
      <c r="F33" s="138"/>
      <c r="G33" s="138"/>
      <c r="H33" s="138">
        <v>2.1000000000000001E-2</v>
      </c>
      <c r="I33" s="139">
        <v>6</v>
      </c>
      <c r="J33" s="18"/>
      <c r="L33" s="14">
        <f t="shared" si="0"/>
        <v>8.2151445944498871</v>
      </c>
      <c r="M33" s="14">
        <f t="shared" si="1"/>
        <v>200.36121468428971</v>
      </c>
      <c r="N33" s="14">
        <f t="shared" si="2"/>
        <v>202.15909036112163</v>
      </c>
      <c r="O33" s="14">
        <f t="shared" si="3"/>
        <v>180.59887443668984</v>
      </c>
    </row>
    <row r="34" spans="1:15" ht="15.75" customHeight="1" thickBot="1" x14ac:dyDescent="0.25">
      <c r="A34" s="136" t="s">
        <v>74</v>
      </c>
      <c r="B34" s="144"/>
      <c r="C34" s="144">
        <v>0.316</v>
      </c>
      <c r="D34" s="144"/>
      <c r="E34" s="144">
        <v>5.2999999999999999E-2</v>
      </c>
      <c r="F34" s="144">
        <v>0.217</v>
      </c>
      <c r="G34" s="144">
        <v>2.1000000000000001E-2</v>
      </c>
      <c r="H34" s="144">
        <v>3.6999999999999998E-2</v>
      </c>
      <c r="I34" s="148">
        <v>7</v>
      </c>
      <c r="J34" s="18"/>
      <c r="L34" s="14">
        <f t="shared" si="0"/>
        <v>8.4360750884649001</v>
      </c>
      <c r="M34" s="14">
        <f t="shared" si="1"/>
        <v>200.4353355726048</v>
      </c>
      <c r="N34" s="14">
        <f t="shared" si="2"/>
        <v>201.96708854675288</v>
      </c>
      <c r="O34" s="14">
        <f t="shared" si="3"/>
        <v>180.32040066891557</v>
      </c>
    </row>
    <row r="35" spans="1:15" ht="15.75" customHeight="1" thickBot="1" x14ac:dyDescent="0.25">
      <c r="A35" s="18"/>
      <c r="B35" s="18"/>
      <c r="C35" s="18"/>
      <c r="D35" s="18"/>
      <c r="E35" s="18"/>
      <c r="F35" s="18"/>
      <c r="G35" s="18"/>
      <c r="H35" s="18"/>
      <c r="I35" s="18"/>
      <c r="L35" s="14">
        <f t="shared" si="0"/>
        <v>8.6629470826719714</v>
      </c>
      <c r="M35" s="14">
        <f t="shared" si="1"/>
        <v>200.51282927155168</v>
      </c>
      <c r="N35" s="14">
        <f t="shared" si="2"/>
        <v>201.78011337839547</v>
      </c>
      <c r="O35" s="14">
        <f t="shared" si="3"/>
        <v>180.04688933261988</v>
      </c>
    </row>
    <row r="36" spans="1:15" ht="15.75" customHeight="1" x14ac:dyDescent="0.2">
      <c r="A36" s="16" t="s">
        <v>149</v>
      </c>
      <c r="B36" s="17"/>
      <c r="C36" s="25"/>
      <c r="L36" s="14">
        <f t="shared" si="0"/>
        <v>8.8959203622772574</v>
      </c>
      <c r="M36" s="14">
        <f t="shared" si="1"/>
        <v>200.59381600369431</v>
      </c>
      <c r="N36" s="14">
        <f t="shared" si="2"/>
        <v>201.59818002497758</v>
      </c>
      <c r="O36" s="14">
        <f t="shared" si="3"/>
        <v>179.77843042127887</v>
      </c>
    </row>
    <row r="37" spans="1:15" ht="15.75" customHeight="1" thickBot="1" x14ac:dyDescent="0.25">
      <c r="A37" s="21" t="s">
        <v>150</v>
      </c>
      <c r="B37" s="26">
        <v>18.3</v>
      </c>
      <c r="C37" s="27"/>
      <c r="L37" s="14">
        <f t="shared" si="0"/>
        <v>9.1351590096023365</v>
      </c>
      <c r="M37" s="14">
        <f t="shared" si="1"/>
        <v>200.67841743093305</v>
      </c>
      <c r="N37" s="14">
        <f t="shared" si="2"/>
        <v>201.42129718278019</v>
      </c>
      <c r="O37" s="14">
        <f t="shared" si="3"/>
        <v>179.51510927735791</v>
      </c>
    </row>
    <row r="38" spans="1:15" ht="15.75" customHeight="1" thickBot="1" x14ac:dyDescent="0.25">
      <c r="L38" s="14">
        <f t="shared" si="0"/>
        <v>9.3808315196468524</v>
      </c>
      <c r="M38" s="14">
        <f t="shared" si="1"/>
        <v>200.76675639926472</v>
      </c>
      <c r="N38" s="14">
        <f t="shared" si="2"/>
        <v>201.24946709290259</v>
      </c>
      <c r="O38" s="14">
        <f t="shared" si="3"/>
        <v>179.25700621609857</v>
      </c>
    </row>
    <row r="39" spans="1:15" ht="15.75" customHeight="1" x14ac:dyDescent="0.2">
      <c r="A39" s="16" t="s">
        <v>151</v>
      </c>
      <c r="B39" s="28"/>
      <c r="C39" s="28"/>
      <c r="D39" s="28"/>
      <c r="E39" s="29"/>
      <c r="L39" s="14">
        <f t="shared" si="0"/>
        <v>9.6331109187589945</v>
      </c>
      <c r="M39" s="14">
        <f t="shared" si="1"/>
        <v>200.85895666032673</v>
      </c>
      <c r="N39" s="14">
        <f t="shared" si="2"/>
        <v>201.08268559842483</v>
      </c>
      <c r="O39" s="14">
        <f t="shared" si="3"/>
        <v>179.00419616677581</v>
      </c>
    </row>
    <row r="40" spans="1:15" ht="15.75" customHeight="1" x14ac:dyDescent="0.2">
      <c r="A40" s="30" t="s">
        <v>152</v>
      </c>
      <c r="B40" s="150"/>
      <c r="C40" s="150" t="s">
        <v>39</v>
      </c>
      <c r="D40" s="150" t="s">
        <v>40</v>
      </c>
      <c r="E40" s="151" t="s">
        <v>41</v>
      </c>
      <c r="L40" s="14">
        <f t="shared" si="0"/>
        <v>9.8921748864973917</v>
      </c>
      <c r="M40" s="14">
        <f t="shared" si="1"/>
        <v>200.95514256982713</v>
      </c>
      <c r="N40" s="14">
        <f t="shared" si="2"/>
        <v>200.92094224088999</v>
      </c>
      <c r="O40" s="14">
        <f t="shared" si="3"/>
        <v>178.75674833519719</v>
      </c>
    </row>
    <row r="41" spans="1:15" ht="15.75" customHeight="1" x14ac:dyDescent="0.2">
      <c r="A41" s="30"/>
      <c r="B41" s="150" t="s">
        <v>153</v>
      </c>
      <c r="C41" s="150">
        <v>1</v>
      </c>
      <c r="D41" s="150">
        <v>1.6</v>
      </c>
      <c r="E41" s="151">
        <v>1.8</v>
      </c>
      <c r="L41" s="14">
        <f t="shared" si="0"/>
        <v>10.158205880770247</v>
      </c>
      <c r="M41" s="14">
        <f t="shared" si="1"/>
        <v>201.05543876321028</v>
      </c>
      <c r="N41" s="14">
        <f t="shared" si="2"/>
        <v>200.76422039527753</v>
      </c>
      <c r="O41" s="14">
        <f t="shared" si="3"/>
        <v>178.51472589112677</v>
      </c>
    </row>
    <row r="42" spans="1:15" ht="15.75" customHeight="1" x14ac:dyDescent="0.2">
      <c r="A42" s="30"/>
      <c r="B42" s="150" t="s">
        <v>154</v>
      </c>
      <c r="C42" s="150">
        <v>2</v>
      </c>
      <c r="D42" s="150">
        <v>2</v>
      </c>
      <c r="E42" s="151">
        <v>2</v>
      </c>
      <c r="L42" s="14">
        <f t="shared" si="0"/>
        <v>10.431391266339844</v>
      </c>
      <c r="M42" s="14">
        <f t="shared" si="1"/>
        <v>201.15996980917768</v>
      </c>
      <c r="N42" s="14">
        <f t="shared" si="2"/>
        <v>200.61249744220544</v>
      </c>
      <c r="O42" s="14">
        <f t="shared" si="3"/>
        <v>178.27818568416546</v>
      </c>
    </row>
    <row r="43" spans="1:15" ht="15.75" customHeight="1" x14ac:dyDescent="0.2">
      <c r="A43" s="30"/>
      <c r="B43" s="150" t="s">
        <v>155</v>
      </c>
      <c r="C43" s="150">
        <v>0.2</v>
      </c>
      <c r="D43" s="150">
        <v>8.8000000000000007</v>
      </c>
      <c r="E43" s="151">
        <v>12</v>
      </c>
      <c r="L43" s="14">
        <f t="shared" si="0"/>
        <v>10.711923446782942</v>
      </c>
      <c r="M43" s="14">
        <f t="shared" si="1"/>
        <v>201.26885984197355</v>
      </c>
      <c r="N43" s="14">
        <f t="shared" si="2"/>
        <v>200.46574497568943</v>
      </c>
      <c r="O43" s="14">
        <f t="shared" si="3"/>
        <v>178.0471779914059</v>
      </c>
    </row>
    <row r="44" spans="1:15" ht="15.75" customHeight="1" x14ac:dyDescent="0.2">
      <c r="A44" s="30"/>
      <c r="B44" s="150" t="s">
        <v>156</v>
      </c>
      <c r="C44" s="150">
        <v>19</v>
      </c>
      <c r="D44" s="150">
        <v>110</v>
      </c>
      <c r="E44" s="151">
        <v>140</v>
      </c>
      <c r="L44" s="14">
        <f>C62</f>
        <v>10.999999999999986</v>
      </c>
      <c r="M44" s="14">
        <f t="shared" si="1"/>
        <v>201.38223217365064</v>
      </c>
      <c r="N44" s="14">
        <f t="shared" si="2"/>
        <v>200.32392904441602</v>
      </c>
      <c r="O44" s="14">
        <f t="shared" si="3"/>
        <v>177.82174629990828</v>
      </c>
    </row>
    <row r="45" spans="1:15" ht="15.75" customHeight="1" x14ac:dyDescent="0.2">
      <c r="A45" s="30"/>
      <c r="B45" s="150" t="s">
        <v>157</v>
      </c>
      <c r="C45" s="150">
        <v>0.13</v>
      </c>
      <c r="D45" s="150">
        <v>1.2</v>
      </c>
      <c r="E45" s="151">
        <v>1.36</v>
      </c>
      <c r="L45" s="10"/>
    </row>
    <row r="46" spans="1:15" ht="15.75" customHeight="1" thickBot="1" x14ac:dyDescent="0.25">
      <c r="A46" s="31"/>
      <c r="B46" s="152" t="s">
        <v>158</v>
      </c>
      <c r="C46" s="152">
        <v>179</v>
      </c>
      <c r="D46" s="152">
        <v>177</v>
      </c>
      <c r="E46" s="153">
        <v>152</v>
      </c>
      <c r="L46" s="14" t="s">
        <v>159</v>
      </c>
      <c r="N46" s="14" t="b">
        <f>K10+10*LOG(K13*3600)-15*LOG(99.9)&lt;MIN(M32:O44)</f>
        <v>1</v>
      </c>
    </row>
    <row r="48" spans="1:15" x14ac:dyDescent="0.2">
      <c r="A48" s="6"/>
    </row>
    <row r="49" spans="1:20" x14ac:dyDescent="0.2">
      <c r="A49" s="1" t="s">
        <v>160</v>
      </c>
    </row>
    <row r="50" spans="1:20" x14ac:dyDescent="0.2">
      <c r="A50" s="2" t="s">
        <v>161</v>
      </c>
      <c r="B50" s="2" t="s">
        <v>162</v>
      </c>
      <c r="C50" s="2" t="s">
        <v>163</v>
      </c>
      <c r="D50" s="2" t="s">
        <v>164</v>
      </c>
      <c r="E50" s="2" t="s">
        <v>165</v>
      </c>
      <c r="F50" s="2" t="str">
        <f>C40&amp;" weighted"</f>
        <v>LF weighted</v>
      </c>
      <c r="G50" s="2" t="str">
        <f>D40&amp;" weighted"</f>
        <v>HF weighted</v>
      </c>
      <c r="H50" s="2" t="str">
        <f>E40&amp;" weighted"</f>
        <v>VHF weighted</v>
      </c>
      <c r="J50" s="10"/>
      <c r="Q50" s="7"/>
      <c r="R50" s="7"/>
      <c r="S50" s="7"/>
      <c r="T50" s="7"/>
    </row>
    <row r="51" spans="1:20" x14ac:dyDescent="0.2">
      <c r="A51" s="2" t="s">
        <v>166</v>
      </c>
      <c r="B51" s="10">
        <f>K$11</f>
        <v>8</v>
      </c>
      <c r="C51" s="10">
        <f t="shared" ref="C51:C62" si="4">B51*(K$12/K$11)^(1/12)</f>
        <v>8.2151445944498871</v>
      </c>
      <c r="D51" s="10">
        <f>SQRT(B51*C51)</f>
        <v>8.1068586243747394</v>
      </c>
      <c r="E51" s="7">
        <f t="shared" ref="E51:E62" si="5">K$10-10*LOG(COUNT(B$51:B$62))</f>
        <v>170.20818753952375</v>
      </c>
      <c r="F51" s="7">
        <f t="shared" ref="F51:F62" si="6">$E51+(C$45+10*LOG(($D51/C$43)^(2*C$41)/((1+($D51/C$43)^2)^C$41*(1+($D51/C$44)^2)^C$42)))</f>
        <v>168.88280561378829</v>
      </c>
      <c r="G51" s="7">
        <f t="shared" ref="G51:G62" si="7">$E51+(D$45+10*LOG(($D51/D$43)^(2*D$41)/((1+($D51/D$43)^2)^D$41*(1+($D51/D$44)^2)^D$42)))</f>
        <v>165.9512177844725</v>
      </c>
      <c r="H51" s="7">
        <f t="shared" ref="H51:H62" si="8">$E51+(E$45+10*LOG(($D51/E$43)^(2*E$41)/((1+($D51/E$43)^2)^E$41*(1+($D51/E$44)^2)^E$42)))</f>
        <v>162.46824460613612</v>
      </c>
      <c r="J51" s="10"/>
      <c r="L51" s="14">
        <f t="shared" ref="L51:L62" si="9">10^(E51/10)</f>
        <v>1.0491045098284762E+17</v>
      </c>
      <c r="M51" s="14">
        <f t="shared" ref="M51:M62" si="10">10^(F51/10)</f>
        <v>7.731799107320816E+16</v>
      </c>
      <c r="N51" s="14">
        <f t="shared" ref="N51:N62" si="11">10^(G51/10)</f>
        <v>3.9366044443136688E+16</v>
      </c>
      <c r="O51" s="14">
        <f t="shared" ref="O51:O61" si="12">10^(H51/10)</f>
        <v>1.7653241423762958E+16</v>
      </c>
      <c r="Q51" s="7"/>
      <c r="R51" s="7"/>
      <c r="S51" s="7"/>
      <c r="T51" s="7"/>
    </row>
    <row r="52" spans="1:20" x14ac:dyDescent="0.2">
      <c r="A52" s="2" t="s">
        <v>167</v>
      </c>
      <c r="B52" s="10">
        <f>C51</f>
        <v>8.2151445944498871</v>
      </c>
      <c r="C52" s="10">
        <f t="shared" si="4"/>
        <v>8.4360750884649001</v>
      </c>
      <c r="D52" s="10">
        <f t="shared" ref="D52:D62" si="13">SQRT(B52*C52)</f>
        <v>8.3248769757501986</v>
      </c>
      <c r="E52" s="7">
        <f t="shared" si="5"/>
        <v>170.20818753952375</v>
      </c>
      <c r="F52" s="7">
        <f t="shared" si="6"/>
        <v>168.81032656122377</v>
      </c>
      <c r="G52" s="7">
        <f t="shared" si="7"/>
        <v>166.1457252157787</v>
      </c>
      <c r="H52" s="7">
        <f t="shared" si="8"/>
        <v>162.74916449496757</v>
      </c>
      <c r="J52" s="10"/>
      <c r="L52" s="14">
        <f t="shared" si="9"/>
        <v>1.0491045098284762E+17</v>
      </c>
      <c r="M52" s="14">
        <f t="shared" si="10"/>
        <v>7.603834506840568E+16</v>
      </c>
      <c r="N52" s="14">
        <f t="shared" si="11"/>
        <v>4.11692088832838E+16</v>
      </c>
      <c r="O52" s="14">
        <f t="shared" si="12"/>
        <v>1.8832867438963156E+16</v>
      </c>
      <c r="Q52" s="7"/>
      <c r="R52" s="7"/>
      <c r="S52" s="7"/>
      <c r="T52" s="7"/>
    </row>
    <row r="53" spans="1:20" x14ac:dyDescent="0.2">
      <c r="A53" s="2" t="s">
        <v>168</v>
      </c>
      <c r="B53" s="10">
        <f t="shared" ref="B53:B62" si="14">C52</f>
        <v>8.4360750884649001</v>
      </c>
      <c r="C53" s="10">
        <f t="shared" si="4"/>
        <v>8.6629470826719714</v>
      </c>
      <c r="D53" s="10">
        <f t="shared" si="13"/>
        <v>8.5487585108493214</v>
      </c>
      <c r="E53" s="7">
        <f t="shared" si="5"/>
        <v>170.20818753952375</v>
      </c>
      <c r="F53" s="7">
        <f t="shared" si="6"/>
        <v>168.73453419611761</v>
      </c>
      <c r="G53" s="7">
        <f t="shared" si="7"/>
        <v>166.33521600739471</v>
      </c>
      <c r="H53" s="7">
        <f t="shared" si="8"/>
        <v>163.02516857177972</v>
      </c>
      <c r="J53" s="10"/>
      <c r="L53" s="14">
        <f t="shared" si="9"/>
        <v>1.0491045098284762E+17</v>
      </c>
      <c r="M53" s="14">
        <f t="shared" si="10"/>
        <v>7.4722848567211008E+16</v>
      </c>
      <c r="N53" s="14">
        <f t="shared" si="11"/>
        <v>4.3005262285845224E+16</v>
      </c>
      <c r="O53" s="14">
        <f t="shared" ref="O53:O54" si="15">10^(H53/10)</f>
        <v>2.0068589849119336E+16</v>
      </c>
      <c r="Q53" s="7"/>
      <c r="R53" s="7"/>
      <c r="S53" s="7"/>
      <c r="T53" s="7"/>
    </row>
    <row r="54" spans="1:20" x14ac:dyDescent="0.2">
      <c r="A54" s="2" t="s">
        <v>169</v>
      </c>
      <c r="B54" s="10">
        <f t="shared" si="14"/>
        <v>8.6629470826719714</v>
      </c>
      <c r="C54" s="10">
        <f t="shared" si="4"/>
        <v>8.8959203622772574</v>
      </c>
      <c r="D54" s="10">
        <f t="shared" si="13"/>
        <v>8.778660908707657</v>
      </c>
      <c r="E54" s="7">
        <f t="shared" si="5"/>
        <v>170.20818753952375</v>
      </c>
      <c r="F54" s="7">
        <f t="shared" si="6"/>
        <v>168.65530910406235</v>
      </c>
      <c r="G54" s="7">
        <f t="shared" si="7"/>
        <v>166.51967175991436</v>
      </c>
      <c r="H54" s="7">
        <f t="shared" si="8"/>
        <v>163.29616466309062</v>
      </c>
      <c r="J54" s="10"/>
      <c r="L54" s="14">
        <f t="shared" si="9"/>
        <v>1.0491045098284762E+17</v>
      </c>
      <c r="M54" s="14">
        <f t="shared" si="10"/>
        <v>7.3372093429682816E+16</v>
      </c>
      <c r="N54" s="14">
        <f t="shared" si="11"/>
        <v>4.4871147500555288E+16</v>
      </c>
      <c r="O54" s="14">
        <f t="shared" si="15"/>
        <v>2.1360748480984704E+16</v>
      </c>
      <c r="Q54" s="7"/>
      <c r="R54" s="7"/>
      <c r="S54" s="7"/>
      <c r="T54" s="7"/>
    </row>
    <row r="55" spans="1:20" x14ac:dyDescent="0.2">
      <c r="A55" s="2" t="s">
        <v>170</v>
      </c>
      <c r="B55" s="10">
        <f t="shared" si="14"/>
        <v>8.8959203622772574</v>
      </c>
      <c r="C55" s="10">
        <f t="shared" si="4"/>
        <v>9.1351590096023365</v>
      </c>
      <c r="D55" s="10">
        <f t="shared" si="13"/>
        <v>9.0147460888347801</v>
      </c>
      <c r="E55" s="7">
        <f t="shared" si="5"/>
        <v>170.20818753952375</v>
      </c>
      <c r="F55" s="7">
        <f t="shared" si="6"/>
        <v>168.57253031236942</v>
      </c>
      <c r="G55" s="7">
        <f t="shared" si="7"/>
        <v>166.69908054043299</v>
      </c>
      <c r="H55" s="7">
        <f t="shared" si="8"/>
        <v>163.56206505295961</v>
      </c>
      <c r="J55" s="10"/>
      <c r="L55" s="14">
        <f t="shared" si="9"/>
        <v>1.0491045098284762E+17</v>
      </c>
      <c r="M55" s="14">
        <f t="shared" si="10"/>
        <v>7.1986826978432304E+16</v>
      </c>
      <c r="N55" s="14">
        <f t="shared" si="11"/>
        <v>4.6763612597696432E+16</v>
      </c>
      <c r="O55" s="14">
        <f t="shared" si="12"/>
        <v>2.2709444202228876E+16</v>
      </c>
      <c r="Q55" s="7"/>
      <c r="R55" s="7"/>
      <c r="S55" s="7"/>
      <c r="T55" s="7"/>
    </row>
    <row r="56" spans="1:20" x14ac:dyDescent="0.2">
      <c r="A56" s="2" t="s">
        <v>171</v>
      </c>
      <c r="B56" s="10">
        <f t="shared" si="14"/>
        <v>9.1351590096023365</v>
      </c>
      <c r="C56" s="10">
        <f t="shared" si="4"/>
        <v>9.3808315196468524</v>
      </c>
      <c r="D56" s="10">
        <f t="shared" si="13"/>
        <v>9.257180325253664</v>
      </c>
      <c r="E56" s="7">
        <f t="shared" si="5"/>
        <v>170.20818753952375</v>
      </c>
      <c r="F56" s="7">
        <f t="shared" si="6"/>
        <v>168.48607553373461</v>
      </c>
      <c r="G56" s="7">
        <f t="shared" si="7"/>
        <v>166.8734368849282</v>
      </c>
      <c r="H56" s="7">
        <f t="shared" si="8"/>
        <v>163.82278686650943</v>
      </c>
      <c r="J56" s="10"/>
      <c r="L56" s="14">
        <f t="shared" si="9"/>
        <v>1.0491045098284762E+17</v>
      </c>
      <c r="M56" s="14">
        <f t="shared" si="10"/>
        <v>7.0567958452217976E+16</v>
      </c>
      <c r="N56" s="14">
        <f t="shared" si="11"/>
        <v>4.86792287085964E+16</v>
      </c>
      <c r="O56" s="14">
        <f t="shared" si="12"/>
        <v>2.4114523606246992E+16</v>
      </c>
      <c r="Q56" s="7"/>
      <c r="R56" s="7"/>
      <c r="S56" s="7"/>
      <c r="T56" s="7"/>
    </row>
    <row r="57" spans="1:20" ht="15.75" customHeight="1" x14ac:dyDescent="0.2">
      <c r="A57" s="2" t="s">
        <v>172</v>
      </c>
      <c r="B57" s="10">
        <f t="shared" si="14"/>
        <v>9.3808315196468524</v>
      </c>
      <c r="C57" s="10">
        <f t="shared" si="4"/>
        <v>9.6331109187589945</v>
      </c>
      <c r="D57" s="10">
        <f t="shared" si="13"/>
        <v>9.5061343636069342</v>
      </c>
      <c r="E57" s="7">
        <f t="shared" si="5"/>
        <v>170.20818753952375</v>
      </c>
      <c r="F57" s="7">
        <f t="shared" si="6"/>
        <v>168.39582143308402</v>
      </c>
      <c r="G57" s="7">
        <f t="shared" si="7"/>
        <v>167.04274176092733</v>
      </c>
      <c r="H57" s="7">
        <f t="shared" si="8"/>
        <v>164.07825243787889</v>
      </c>
      <c r="J57" s="10"/>
      <c r="L57" s="14">
        <f t="shared" si="9"/>
        <v>1.0491045098284762E+17</v>
      </c>
      <c r="M57" s="14">
        <f t="shared" si="10"/>
        <v>6.91165645465688E+16</v>
      </c>
      <c r="N57" s="14">
        <f t="shared" si="11"/>
        <v>5.0614409690573456E+16</v>
      </c>
      <c r="O57" s="14">
        <f t="shared" si="12"/>
        <v>2.5575565419603728E+16</v>
      </c>
      <c r="Q57" s="7"/>
      <c r="R57" s="7"/>
      <c r="S57" s="7"/>
      <c r="T57" s="7"/>
    </row>
    <row r="58" spans="1:20" ht="15" customHeight="1" x14ac:dyDescent="0.2">
      <c r="A58" s="2" t="s">
        <v>173</v>
      </c>
      <c r="B58" s="10">
        <f t="shared" si="14"/>
        <v>9.6331109187589945</v>
      </c>
      <c r="C58" s="10">
        <f t="shared" si="4"/>
        <v>9.8921748864973917</v>
      </c>
      <c r="D58" s="10">
        <f t="shared" si="13"/>
        <v>9.7617835414124787</v>
      </c>
      <c r="E58" s="7">
        <f t="shared" si="5"/>
        <v>170.20818753952375</v>
      </c>
      <c r="F58" s="7">
        <f t="shared" si="6"/>
        <v>168.30164391761465</v>
      </c>
      <c r="G58" s="7">
        <f t="shared" si="7"/>
        <v>167.2070024906094</v>
      </c>
      <c r="H58" s="7">
        <f t="shared" si="8"/>
        <v>164.32838965881211</v>
      </c>
      <c r="J58" s="10"/>
      <c r="L58" s="14">
        <f t="shared" si="9"/>
        <v>1.0491045098284762E+17</v>
      </c>
      <c r="M58" s="14">
        <f t="shared" si="10"/>
        <v>6.7633893883077096E+16</v>
      </c>
      <c r="N58" s="14">
        <f t="shared" si="11"/>
        <v>5.2565433346125424E+16</v>
      </c>
      <c r="O58" s="14">
        <f t="shared" si="12"/>
        <v>2.709186893318806E+16</v>
      </c>
      <c r="Q58" s="7"/>
      <c r="R58" s="7"/>
      <c r="S58" s="7"/>
      <c r="T58" s="7"/>
    </row>
    <row r="59" spans="1:20" ht="15" customHeight="1" x14ac:dyDescent="0.2">
      <c r="A59" s="2" t="s">
        <v>174</v>
      </c>
      <c r="B59" s="10">
        <f t="shared" si="14"/>
        <v>9.8921748864973917</v>
      </c>
      <c r="C59" s="10">
        <f t="shared" si="4"/>
        <v>10.158205880770247</v>
      </c>
      <c r="D59" s="10">
        <f t="shared" si="13"/>
        <v>10.024307911553073</v>
      </c>
      <c r="E59" s="7">
        <f t="shared" si="5"/>
        <v>170.20818753952375</v>
      </c>
      <c r="F59" s="7">
        <f t="shared" si="6"/>
        <v>168.20341844980663</v>
      </c>
      <c r="G59" s="7">
        <f t="shared" si="7"/>
        <v>167.3662326349461</v>
      </c>
      <c r="H59" s="7">
        <f t="shared" si="8"/>
        <v>164.57313230414925</v>
      </c>
      <c r="J59" s="10"/>
      <c r="L59" s="14">
        <f t="shared" si="9"/>
        <v>1.0491045098284762E+17</v>
      </c>
      <c r="M59" s="14">
        <f t="shared" si="10"/>
        <v>6.6121370248906112E+16</v>
      </c>
      <c r="N59" s="14">
        <f t="shared" si="11"/>
        <v>5.4528463896889256E+16</v>
      </c>
      <c r="O59" s="14">
        <f t="shared" si="12"/>
        <v>2.8662444738535008E+16</v>
      </c>
      <c r="Q59" s="7"/>
      <c r="R59" s="7"/>
      <c r="S59" s="7"/>
      <c r="T59" s="7"/>
    </row>
    <row r="60" spans="1:20" ht="15" customHeight="1" x14ac:dyDescent="0.2">
      <c r="A60" s="2" t="s">
        <v>175</v>
      </c>
      <c r="B60" s="10">
        <f t="shared" si="14"/>
        <v>10.158205880770247</v>
      </c>
      <c r="C60" s="10">
        <f t="shared" si="4"/>
        <v>10.431391266339844</v>
      </c>
      <c r="D60" s="10">
        <f t="shared" si="13"/>
        <v>10.293892369087059</v>
      </c>
      <c r="E60" s="7">
        <f t="shared" si="5"/>
        <v>170.20818753952375</v>
      </c>
      <c r="F60" s="7">
        <f t="shared" si="6"/>
        <v>168.10102038292507</v>
      </c>
      <c r="G60" s="7">
        <f t="shared" si="7"/>
        <v>167.52045183993002</v>
      </c>
      <c r="H60" s="7">
        <f t="shared" si="8"/>
        <v>164.81242033060389</v>
      </c>
      <c r="J60" s="10"/>
      <c r="L60" s="14">
        <f t="shared" si="9"/>
        <v>1.0491045098284762E+17</v>
      </c>
      <c r="M60" s="14">
        <f t="shared" si="10"/>
        <v>6.4580594451324856E+16</v>
      </c>
      <c r="N60" s="14">
        <f t="shared" si="11"/>
        <v>5.6499575390643152E+16</v>
      </c>
      <c r="O60" s="14">
        <f t="shared" si="12"/>
        <v>3.0286008022961992E+16</v>
      </c>
      <c r="Q60" s="7"/>
      <c r="R60" s="7"/>
      <c r="S60" s="7"/>
      <c r="T60" s="7"/>
    </row>
    <row r="61" spans="1:20" x14ac:dyDescent="0.2">
      <c r="A61" s="2" t="s">
        <v>176</v>
      </c>
      <c r="B61" s="10">
        <f t="shared" si="14"/>
        <v>10.431391266339844</v>
      </c>
      <c r="C61" s="10">
        <f t="shared" si="4"/>
        <v>10.711923446782942</v>
      </c>
      <c r="D61" s="10">
        <f t="shared" si="13"/>
        <v>10.570726781469313</v>
      </c>
      <c r="E61" s="7">
        <f t="shared" si="5"/>
        <v>170.20818753952375</v>
      </c>
      <c r="F61" s="7">
        <f t="shared" si="6"/>
        <v>167.99432531824942</v>
      </c>
      <c r="G61" s="7">
        <f t="shared" si="7"/>
        <v>167.6696856463609</v>
      </c>
      <c r="H61" s="7">
        <f t="shared" si="8"/>
        <v>165.04620014539458</v>
      </c>
      <c r="J61" s="10"/>
      <c r="L61" s="14">
        <f t="shared" si="9"/>
        <v>1.0491045098284762E+17</v>
      </c>
      <c r="M61" s="14">
        <f t="shared" si="10"/>
        <v>6.3013344639067328E+16</v>
      </c>
      <c r="N61" s="14">
        <f t="shared" si="11"/>
        <v>5.8474775704943728E+16</v>
      </c>
      <c r="O61" s="14">
        <f t="shared" si="12"/>
        <v>3.1960974641484012E+16</v>
      </c>
      <c r="Q61" s="7"/>
      <c r="R61" s="7"/>
      <c r="S61" s="7"/>
      <c r="T61" s="7"/>
    </row>
    <row r="62" spans="1:20" x14ac:dyDescent="0.2">
      <c r="A62" s="2" t="s">
        <v>177</v>
      </c>
      <c r="B62" s="10">
        <f t="shared" si="14"/>
        <v>10.711923446782942</v>
      </c>
      <c r="C62" s="10">
        <f t="shared" si="4"/>
        <v>10.999999999999986</v>
      </c>
      <c r="D62" s="10">
        <f t="shared" si="13"/>
        <v>10.855006122274284</v>
      </c>
      <c r="E62" s="7">
        <f t="shared" si="5"/>
        <v>170.20818753952375</v>
      </c>
      <c r="F62" s="7">
        <f t="shared" si="6"/>
        <v>167.88320948296933</v>
      </c>
      <c r="G62" s="7">
        <f t="shared" si="7"/>
        <v>167.81396526505199</v>
      </c>
      <c r="H62" s="7">
        <f t="shared" si="8"/>
        <v>165.27442484154105</v>
      </c>
      <c r="L62" s="14">
        <f t="shared" si="9"/>
        <v>1.0491045098284762E+17</v>
      </c>
      <c r="M62" s="14">
        <f t="shared" si="10"/>
        <v>6.142157495335696E+16</v>
      </c>
      <c r="N62" s="14">
        <f t="shared" si="11"/>
        <v>6.0450030804205864E+16</v>
      </c>
      <c r="O62" s="14">
        <f>10^(H62/10)</f>
        <v>3.3685460140458808E+16</v>
      </c>
      <c r="R62" s="7"/>
      <c r="S62" s="7"/>
      <c r="T62" s="7"/>
    </row>
    <row r="63" spans="1:20" ht="15" customHeight="1" x14ac:dyDescent="0.2">
      <c r="B63" s="10"/>
      <c r="C63" s="10"/>
      <c r="F63" s="7"/>
      <c r="G63" s="7"/>
      <c r="H63" s="7"/>
      <c r="R63" s="7"/>
      <c r="S63" s="7"/>
      <c r="T63" s="7"/>
    </row>
    <row r="64" spans="1:20" ht="15" customHeight="1" x14ac:dyDescent="0.2">
      <c r="A64" s="2" t="s">
        <v>178</v>
      </c>
      <c r="E64" s="7">
        <f>10*LOG(SUM(L51:L62))</f>
        <v>181</v>
      </c>
      <c r="F64" s="7">
        <f>10*LOG(SUM(M51:M62))</f>
        <v>179.22150899435476</v>
      </c>
      <c r="G64" s="7">
        <f>10*LOG(SUM(N51:N62))</f>
        <v>177.75965014614411</v>
      </c>
      <c r="H64" s="7">
        <f>10*LOG(SUM(O51:O62))</f>
        <v>174.80009440714923</v>
      </c>
      <c r="R64" s="7"/>
      <c r="S64" s="7"/>
      <c r="T64" s="7"/>
    </row>
    <row r="65" spans="1:20" ht="15" customHeight="1" x14ac:dyDescent="0.2">
      <c r="A65" s="1" t="s">
        <v>179</v>
      </c>
      <c r="E65" s="7"/>
      <c r="F65" s="7"/>
      <c r="G65" s="7"/>
      <c r="H65" s="7"/>
      <c r="R65" s="7"/>
      <c r="S65" s="7"/>
      <c r="T65" s="7"/>
    </row>
    <row r="66" spans="1:20" x14ac:dyDescent="0.2">
      <c r="A66" s="2" t="s">
        <v>180</v>
      </c>
      <c r="F66" s="32">
        <f>F64+10*LOG($K$13*3600*24)</f>
        <v>215.57634646250389</v>
      </c>
      <c r="G66" s="32">
        <f>G64+10*LOG($K$13*3600*24)</f>
        <v>214.11448761429324</v>
      </c>
      <c r="H66" s="32">
        <f>H64+10*LOG($K$13*3600*24)</f>
        <v>211.15493187529836</v>
      </c>
    </row>
    <row r="81" spans="12:12" x14ac:dyDescent="0.2">
      <c r="L81" s="10"/>
    </row>
    <row r="82" spans="12:12" x14ac:dyDescent="0.2">
      <c r="L82" s="10"/>
    </row>
    <row r="105" spans="8:8" x14ac:dyDescent="0.2">
      <c r="H105" s="33"/>
    </row>
    <row r="115" spans="8:8" x14ac:dyDescent="0.2">
      <c r="H115" s="33"/>
    </row>
    <row r="119" spans="8:8" x14ac:dyDescent="0.2">
      <c r="H119" s="33"/>
    </row>
    <row r="129" spans="8:8" x14ac:dyDescent="0.2">
      <c r="H129" s="33"/>
    </row>
    <row r="133" spans="8:8" x14ac:dyDescent="0.2">
      <c r="H133" s="33"/>
    </row>
    <row r="143" spans="8:8" x14ac:dyDescent="0.2">
      <c r="H143" s="33"/>
    </row>
    <row r="147" spans="8:8" x14ac:dyDescent="0.2">
      <c r="H147" s="33"/>
    </row>
    <row r="149" spans="8:8" x14ac:dyDescent="0.2">
      <c r="H149" s="33"/>
    </row>
    <row r="157" spans="8:8" x14ac:dyDescent="0.2">
      <c r="H157" s="33"/>
    </row>
    <row r="161" spans="8:8" x14ac:dyDescent="0.2">
      <c r="H161" s="33"/>
    </row>
    <row r="163" spans="8:8" x14ac:dyDescent="0.2">
      <c r="H163" s="33"/>
    </row>
  </sheetData>
  <sheetProtection algorithmName="SHA-512" hashValue="2HDWLlbUqzS++HDzAduyQuNCoTzf0XW+8b+/2S+UmeQNrByy42ZIvGi4eO3y+ep5VmlaNAUVRQ8GmBFcfn9Kaw==" saltValue="eQ7C+bQ1wHYGQjsu3NBuCQ==" spinCount="100000" sheet="1" objects="1" scenarios="1"/>
  <phoneticPr fontId="3" type="noConversion"/>
  <conditionalFormatting sqref="L9:L13">
    <cfRule type="expression" dxfId="1" priority="3">
      <formula>NOT($N$46)</formula>
    </cfRule>
    <cfRule type="expression" dxfId="0" priority="4">
      <formula>$N$46</formula>
    </cfRule>
  </conditionalFormatting>
  <hyperlinks>
    <hyperlink ref="I17" r:id="rId1" xr:uid="{E43ED12B-D144-4D73-A2BF-B5FC8F20CB72}"/>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F81F6-4614-4563-8DDA-145BD2DC57F2}">
  <dimension ref="A1:G47"/>
  <sheetViews>
    <sheetView tabSelected="1" topLeftCell="A5" workbookViewId="0">
      <selection activeCell="G26" sqref="G26"/>
    </sheetView>
  </sheetViews>
  <sheetFormatPr baseColWidth="10" defaultColWidth="8.83203125" defaultRowHeight="15" x14ac:dyDescent="0.2"/>
  <cols>
    <col min="1" max="1" width="27.5" customWidth="1"/>
    <col min="2" max="2" width="11" customWidth="1"/>
    <col min="3" max="3" width="10.5" customWidth="1"/>
  </cols>
  <sheetData>
    <row r="1" spans="1:7" x14ac:dyDescent="0.2">
      <c r="A1" s="40" t="str">
        <f>'Cage group calculation'!A22</f>
        <v>farm name and cage group</v>
      </c>
      <c r="B1" s="41" t="str">
        <f>IF('Cage group calculation'!B22=0,"",'Cage group calculation'!B22)</f>
        <v>cage group 1</v>
      </c>
      <c r="C1" s="41"/>
      <c r="D1" s="41"/>
      <c r="E1" s="42"/>
    </row>
    <row r="2" spans="1:7" ht="16" thickBot="1" x14ac:dyDescent="0.25">
      <c r="A2" s="43" t="str">
        <f>'Cage group calculation'!A23</f>
        <v>farm location</v>
      </c>
      <c r="B2" s="44" t="str">
        <f>IF('Cage group calculation'!B23=0,"",'Cage group calculation'!B23)</f>
        <v>j</v>
      </c>
      <c r="C2" s="44" t="str">
        <f>'Cage group calculation'!C23</f>
        <v>Hebrides west coast</v>
      </c>
      <c r="D2" s="44"/>
      <c r="E2" s="45"/>
    </row>
    <row r="3" spans="1:7" ht="16" thickBot="1" x14ac:dyDescent="0.25"/>
    <row r="4" spans="1:7" x14ac:dyDescent="0.2">
      <c r="A4" s="53"/>
      <c r="B4" s="54"/>
      <c r="C4" s="54"/>
      <c r="D4" s="131" t="s">
        <v>181</v>
      </c>
      <c r="E4" s="41"/>
      <c r="F4" s="41"/>
      <c r="G4" s="55"/>
    </row>
    <row r="5" spans="1:7" ht="16" thickBot="1" x14ac:dyDescent="0.25">
      <c r="A5" s="60" t="str">
        <f>'Cage group calculation'!A26</f>
        <v>ADD devices in use</v>
      </c>
      <c r="B5" s="57" t="str">
        <f>IF('Cage group calculation'!B26=0,"",'Cage group calculation'!B26)</f>
        <v>number</v>
      </c>
      <c r="C5" s="58" t="str">
        <f>IF('Cage group calculation'!C26=0,"",'Cage group calculation'!C26)</f>
        <v>simultaneous</v>
      </c>
      <c r="D5" s="130" t="str">
        <f>'Cage group calculation'!D26</f>
        <v>Disturbance</v>
      </c>
      <c r="E5" s="57" t="str">
        <f>'Cage group calculation'!E26</f>
        <v>PTS: LF</v>
      </c>
      <c r="F5" s="57" t="str">
        <f>'Cage group calculation'!F26</f>
        <v>PTS: HF</v>
      </c>
      <c r="G5" s="59" t="str">
        <f>'Cage group calculation'!G26</f>
        <v>PTS: VHF</v>
      </c>
    </row>
    <row r="6" spans="1:7" x14ac:dyDescent="0.2">
      <c r="A6" s="53" t="str">
        <f>'Cage group calculation'!A27</f>
        <v>ADD1</v>
      </c>
      <c r="B6" s="61" t="str">
        <f>IF('Cage group calculation'!$B27=0,"",'Cage group calculation'!B27)</f>
        <v/>
      </c>
      <c r="C6" s="61" t="str">
        <f>IF('Cage group calculation'!$B27=0,"",'Cage group calculation'!C27)</f>
        <v/>
      </c>
      <c r="D6" s="65" t="str">
        <f>IF('Cage group calculation'!$B27=0,"",'Cage group calculation'!D27)</f>
        <v/>
      </c>
      <c r="E6" s="66" t="str">
        <f>IF('Cage group calculation'!$B27=0,"",'Cage group calculation'!E27)</f>
        <v/>
      </c>
      <c r="F6" s="66" t="str">
        <f>IF('Cage group calculation'!$B27=0,"",'Cage group calculation'!F27)</f>
        <v/>
      </c>
      <c r="G6" s="67" t="str">
        <f>IF('Cage group calculation'!$B27=0,"",'Cage group calculation'!G27)</f>
        <v/>
      </c>
    </row>
    <row r="7" spans="1:7" x14ac:dyDescent="0.2">
      <c r="A7" s="60" t="str">
        <f>'Cage group calculation'!A28</f>
        <v>ADD2  and  Mohn Aqua</v>
      </c>
      <c r="B7" s="61" t="str">
        <f>IF('Cage group calculation'!$B28=0,"",'Cage group calculation'!B28)</f>
        <v/>
      </c>
      <c r="C7" s="61" t="str">
        <f>IF('Cage group calculation'!$B28=0,"",'Cage group calculation'!C28)</f>
        <v/>
      </c>
      <c r="D7" s="65" t="str">
        <f>IF('Cage group calculation'!$B28=0,"",'Cage group calculation'!D28)</f>
        <v/>
      </c>
      <c r="E7" s="66" t="str">
        <f>IF('Cage group calculation'!$B28=0,"",'Cage group calculation'!E28)</f>
        <v/>
      </c>
      <c r="F7" s="66" t="str">
        <f>IF('Cage group calculation'!$B28=0,"",'Cage group calculation'!F28)</f>
        <v/>
      </c>
      <c r="G7" s="67" t="str">
        <f>IF('Cage group calculation'!$B28=0,"",'Cage group calculation'!G28)</f>
        <v/>
      </c>
    </row>
    <row r="8" spans="1:7" x14ac:dyDescent="0.2">
      <c r="A8" s="60" t="str">
        <f>'Cage group calculation'!A29</f>
        <v>ADD3  and Gaelforce</v>
      </c>
      <c r="B8" s="61" t="str">
        <f>IF('Cage group calculation'!$B29=0,"",'Cage group calculation'!B29)</f>
        <v/>
      </c>
      <c r="C8" s="61" t="str">
        <f>IF('Cage group calculation'!$B29=0,"",'Cage group calculation'!C29)</f>
        <v/>
      </c>
      <c r="D8" s="65" t="str">
        <f>IF('Cage group calculation'!$B29=0,"",'Cage group calculation'!D29)</f>
        <v/>
      </c>
      <c r="E8" s="66" t="str">
        <f>IF('Cage group calculation'!$B29=0,"",'Cage group calculation'!E29)</f>
        <v/>
      </c>
      <c r="F8" s="66" t="str">
        <f>IF('Cage group calculation'!$B29=0,"",'Cage group calculation'!F29)</f>
        <v/>
      </c>
      <c r="G8" s="67" t="str">
        <f>IF('Cage group calculation'!$B29=0,"",'Cage group calculation'!G29)</f>
        <v/>
      </c>
    </row>
    <row r="9" spans="1:7" x14ac:dyDescent="0.2">
      <c r="A9" s="60" t="str">
        <f>'Cage group calculation'!A30</f>
        <v>OTAQ and  ADD4</v>
      </c>
      <c r="B9" s="61" t="str">
        <f>IF('Cage group calculation'!$B30=0,"",'Cage group calculation'!B30)</f>
        <v/>
      </c>
      <c r="C9" s="61" t="str">
        <f>IF('Cage group calculation'!$B30=0,"",'Cage group calculation'!C30)</f>
        <v/>
      </c>
      <c r="D9" s="65" t="str">
        <f>IF('Cage group calculation'!$B30=0,"",'Cage group calculation'!D30)</f>
        <v/>
      </c>
      <c r="E9" s="66" t="str">
        <f>IF('Cage group calculation'!$B30=0,"",'Cage group calculation'!E30)</f>
        <v/>
      </c>
      <c r="F9" s="66" t="str">
        <f>IF('Cage group calculation'!$B30=0,"",'Cage group calculation'!F30)</f>
        <v/>
      </c>
      <c r="G9" s="67" t="str">
        <f>IF('Cage group calculation'!$B30=0,"",'Cage group calculation'!G30)</f>
        <v/>
      </c>
    </row>
    <row r="10" spans="1:7" x14ac:dyDescent="0.2">
      <c r="A10" s="60" t="str">
        <f>'Cage group calculation'!A31</f>
        <v>OTAQ patrol and  ADD5</v>
      </c>
      <c r="B10" s="61" t="str">
        <f>IF('Cage group calculation'!$B31=0,"",'Cage group calculation'!B31)</f>
        <v/>
      </c>
      <c r="C10" s="61" t="str">
        <f>IF('Cage group calculation'!$B31=0,"",'Cage group calculation'!C31)</f>
        <v/>
      </c>
      <c r="D10" s="65" t="str">
        <f>IF('Cage group calculation'!$B31=0,"",'Cage group calculation'!D31)</f>
        <v/>
      </c>
      <c r="E10" s="66" t="str">
        <f>IF('Cage group calculation'!$B31=0,"",'Cage group calculation'!E31)</f>
        <v/>
      </c>
      <c r="F10" s="66" t="str">
        <f>IF('Cage group calculation'!$B31=0,"",'Cage group calculation'!F31)</f>
        <v/>
      </c>
      <c r="G10" s="67" t="str">
        <f>IF('Cage group calculation'!$B31=0,"",'Cage group calculation'!G31)</f>
        <v/>
      </c>
    </row>
    <row r="11" spans="1:7" x14ac:dyDescent="0.2">
      <c r="A11" s="60" t="str">
        <f>'Cage group calculation'!A33</f>
        <v>Ace Aquatec RT1 flex (S1)</v>
      </c>
      <c r="B11" s="61">
        <f>IF('Cage group calculation'!$B33=0,"",'Cage group calculation'!B33)</f>
        <v>1</v>
      </c>
      <c r="C11" s="61" t="str">
        <f>IF('Cage group calculation'!$B33=0,"",'Cage group calculation'!C33)</f>
        <v>NO</v>
      </c>
      <c r="D11" s="65">
        <f>IF('Cage group calculation'!$B33=0,"",'Cage group calculation'!D33)</f>
        <v>176</v>
      </c>
      <c r="E11" s="66">
        <f>IF('Cage group calculation'!$B33=0,"",'Cage group calculation'!E33)</f>
        <v>215.70366143880995</v>
      </c>
      <c r="F11" s="66">
        <f>IF('Cage group calculation'!$B33=0,"",'Cage group calculation'!F33)</f>
        <v>186.67423647997123</v>
      </c>
      <c r="G11" s="67">
        <f>IF('Cage group calculation'!$B33=0,"",'Cage group calculation'!G33)</f>
        <v>178.28679088387707</v>
      </c>
    </row>
    <row r="12" spans="1:7" x14ac:dyDescent="0.2">
      <c r="A12" s="60" t="str">
        <f>'Cage group calculation'!A34</f>
        <v>Ace Aquatec RT1 ring (S2)</v>
      </c>
      <c r="B12" s="61" t="str">
        <f>IF('Cage group calculation'!$B34=0,"",'Cage group calculation'!B34)</f>
        <v/>
      </c>
      <c r="C12" s="61" t="str">
        <f>IF('Cage group calculation'!$B34=0,"",'Cage group calculation'!C34)</f>
        <v/>
      </c>
      <c r="D12" s="65" t="str">
        <f>IF('Cage group calculation'!$B34=0,"",'Cage group calculation'!D34)</f>
        <v/>
      </c>
      <c r="E12" s="66" t="str">
        <f>IF('Cage group calculation'!$B34=0,"",'Cage group calculation'!E34)</f>
        <v/>
      </c>
      <c r="F12" s="66" t="str">
        <f>IF('Cage group calculation'!$B34=0,"",'Cage group calculation'!F34)</f>
        <v/>
      </c>
      <c r="G12" s="67" t="str">
        <f>IF('Cage group calculation'!$B34=0,"",'Cage group calculation'!G34)</f>
        <v/>
      </c>
    </row>
    <row r="13" spans="1:7" x14ac:dyDescent="0.2">
      <c r="A13" s="60" t="str">
        <f>'Cage group calculation'!A35</f>
        <v>Ace Aquatec US3</v>
      </c>
      <c r="B13" s="61" t="str">
        <f>IF('Cage group calculation'!$B35=0,"",'Cage group calculation'!B35)</f>
        <v/>
      </c>
      <c r="C13" s="61" t="str">
        <f>IF('Cage group calculation'!$B35=0,"",'Cage group calculation'!C35)</f>
        <v/>
      </c>
      <c r="D13" s="65" t="str">
        <f>IF('Cage group calculation'!$B35=0,"",'Cage group calculation'!D35)</f>
        <v/>
      </c>
      <c r="E13" s="66" t="str">
        <f>IF('Cage group calculation'!$B35=0,"",'Cage group calculation'!E35)</f>
        <v/>
      </c>
      <c r="F13" s="66" t="str">
        <f>IF('Cage group calculation'!$B35=0,"",'Cage group calculation'!F35)</f>
        <v/>
      </c>
      <c r="G13" s="67" t="str">
        <f>IF('Cage group calculation'!$B35=0,"",'Cage group calculation'!G35)</f>
        <v/>
      </c>
    </row>
    <row r="14" spans="1:7" x14ac:dyDescent="0.2">
      <c r="A14" s="60" t="str">
        <f>'Cage group calculation'!A36</f>
        <v>XXX</v>
      </c>
      <c r="B14" s="61" t="str">
        <f>IF('Cage group calculation'!$B36=0,"",'Cage group calculation'!B36)</f>
        <v/>
      </c>
      <c r="C14" s="61" t="str">
        <f>IF('Cage group calculation'!$B36=0,"",'Cage group calculation'!C36)</f>
        <v/>
      </c>
      <c r="D14" s="65" t="str">
        <f>IF('Cage group calculation'!$B36=0,"",'Cage group calculation'!D36)</f>
        <v/>
      </c>
      <c r="E14" s="66" t="str">
        <f>IF('Cage group calculation'!$B36=0,"",'Cage group calculation'!E36)</f>
        <v/>
      </c>
      <c r="F14" s="66" t="str">
        <f>IF('Cage group calculation'!$B36=0,"",'Cage group calculation'!F36)</f>
        <v/>
      </c>
      <c r="G14" s="67" t="str">
        <f>IF('Cage group calculation'!$B36=0,"",'Cage group calculation'!G36)</f>
        <v/>
      </c>
    </row>
    <row r="15" spans="1:7" x14ac:dyDescent="0.2">
      <c r="A15" s="60" t="str">
        <f>'Cage group calculation'!A37</f>
        <v>YYY</v>
      </c>
      <c r="B15" s="61" t="str">
        <f>IF('Cage group calculation'!$B37=0,"",'Cage group calculation'!B37)</f>
        <v/>
      </c>
      <c r="C15" s="61" t="str">
        <f>IF('Cage group calculation'!$B37=0,"",'Cage group calculation'!C37)</f>
        <v/>
      </c>
      <c r="D15" s="65" t="str">
        <f>IF('Cage group calculation'!$B37=0,"",'Cage group calculation'!D37)</f>
        <v/>
      </c>
      <c r="E15" s="66" t="str">
        <f>IF('Cage group calculation'!$B37=0,"",'Cage group calculation'!E37)</f>
        <v/>
      </c>
      <c r="F15" s="66" t="str">
        <f>IF('Cage group calculation'!$B37=0,"",'Cage group calculation'!F37)</f>
        <v/>
      </c>
      <c r="G15" s="67" t="str">
        <f>IF('Cage group calculation'!$B37=0,"",'Cage group calculation'!G37)</f>
        <v/>
      </c>
    </row>
    <row r="16" spans="1:7" x14ac:dyDescent="0.2">
      <c r="A16" s="60" t="str">
        <f>'Cage group calculation'!A38</f>
        <v>ZZZ</v>
      </c>
      <c r="B16" s="61" t="str">
        <f>IF('Cage group calculation'!$B38=0,"",'Cage group calculation'!B38)</f>
        <v/>
      </c>
      <c r="C16" s="61" t="str">
        <f>IF('Cage group calculation'!$B38=0,"",'Cage group calculation'!C38)</f>
        <v/>
      </c>
      <c r="D16" s="65" t="str">
        <f>IF('Cage group calculation'!$B38=0,"",'Cage group calculation'!D38)</f>
        <v/>
      </c>
      <c r="E16" s="66" t="str">
        <f>IF('Cage group calculation'!$B38=0,"",'Cage group calculation'!E38)</f>
        <v/>
      </c>
      <c r="F16" s="66" t="str">
        <f>IF('Cage group calculation'!$B38=0,"",'Cage group calculation'!F38)</f>
        <v/>
      </c>
      <c r="G16" s="67" t="str">
        <f>IF('Cage group calculation'!$B38=0,"",'Cage group calculation'!G38)</f>
        <v/>
      </c>
    </row>
    <row r="17" spans="1:7" ht="16" thickBot="1" x14ac:dyDescent="0.25">
      <c r="A17" s="56" t="str">
        <f>'Cage group calculation'!A39</f>
        <v>Ace Aquatec  US3</v>
      </c>
      <c r="B17" s="61" t="str">
        <f>IF('Cage group calculation'!$B39=0,"",'Cage group calculation'!B39)</f>
        <v/>
      </c>
      <c r="C17" s="61" t="str">
        <f>IF('Cage group calculation'!$B39=0,"",'Cage group calculation'!C39)</f>
        <v/>
      </c>
      <c r="D17" s="68" t="str">
        <f>IF('Cage group calculation'!$B39=0,"",'Cage group calculation'!D39)</f>
        <v/>
      </c>
      <c r="E17" s="69" t="str">
        <f>IF('Cage group calculation'!$B39=0,"",'Cage group calculation'!E39)</f>
        <v/>
      </c>
      <c r="F17" s="69" t="str">
        <f>IF('Cage group calculation'!$B39=0,"",'Cage group calculation'!F39)</f>
        <v/>
      </c>
      <c r="G17" s="70" t="str">
        <f>IF('Cage group calculation'!$B39=0,"",'Cage group calculation'!G39)</f>
        <v/>
      </c>
    </row>
    <row r="18" spans="1:7" x14ac:dyDescent="0.2">
      <c r="A18" s="127" t="str">
        <f>'Cage group calculation'!A40</f>
        <v>total SPL or weighted SEL (dB)</v>
      </c>
      <c r="B18" s="54"/>
      <c r="C18" s="54"/>
      <c r="D18" s="62">
        <f>IF('Cage group calculation'!D40=0,"",'Cage group calculation'!D40)</f>
        <v>176</v>
      </c>
      <c r="E18" s="63">
        <f>IF('Cage group calculation'!E40=0,"",'Cage group calculation'!E40)</f>
        <v>215.70366143881</v>
      </c>
      <c r="F18" s="63">
        <f>IF('Cage group calculation'!F40=0,"",'Cage group calculation'!F40)</f>
        <v>186.67423647997126</v>
      </c>
      <c r="G18" s="64">
        <f>IF('Cage group calculation'!G40=0,"",'Cage group calculation'!G40)</f>
        <v>178.28679088387707</v>
      </c>
    </row>
    <row r="19" spans="1:7" x14ac:dyDescent="0.2">
      <c r="A19" s="128" t="str">
        <f>'Cage group calculation'!A41</f>
        <v>threshold radius (m)</v>
      </c>
      <c r="B19" s="61"/>
      <c r="C19" s="61"/>
      <c r="D19" s="65">
        <f>IF('Cage group calculation'!D41=0,"",'Cage group calculation'!D41)</f>
        <v>1148.4425891565204</v>
      </c>
      <c r="E19" s="66">
        <f>IF('Cage group calculation'!E41=0,"",'Cage group calculation'!E41)</f>
        <v>8.1802840570747311</v>
      </c>
      <c r="F19" s="66">
        <f>IF('Cage group calculation'!F41=0,"",'Cage group calculation'!F41)</f>
        <v>0.24049487094786934</v>
      </c>
      <c r="G19" s="67">
        <f>IF('Cage group calculation'!G41=0,"",'Cage group calculation'!G41)</f>
        <v>1.944892836492415</v>
      </c>
    </row>
    <row r="20" spans="1:7" x14ac:dyDescent="0.2">
      <c r="A20" s="128" t="str">
        <f>'Cage group calculation'!A42</f>
        <v>area of which is land  or sound shadow (sq km)</v>
      </c>
      <c r="B20" s="61"/>
      <c r="C20" s="61"/>
      <c r="D20" s="71" t="str">
        <f>IF('Cage group calculation'!D42=0,"",'Cage group calculation'!D42)</f>
        <v/>
      </c>
      <c r="E20" s="72" t="str">
        <f>IF('Cage group calculation'!E42=0,"",'Cage group calculation'!E42)</f>
        <v/>
      </c>
      <c r="F20" s="72" t="str">
        <f>IF('Cage group calculation'!F42=0,"",'Cage group calculation'!F42)</f>
        <v/>
      </c>
      <c r="G20" s="73" t="str">
        <f>IF('Cage group calculation'!G42=0,"",'Cage group calculation'!G42)</f>
        <v/>
      </c>
    </row>
    <row r="21" spans="1:7" ht="16" thickBot="1" x14ac:dyDescent="0.25">
      <c r="A21" s="129" t="str">
        <f>'Cage group calculation'!A43</f>
        <v>affected area (sq km)</v>
      </c>
      <c r="B21" s="57"/>
      <c r="C21" s="57"/>
      <c r="D21" s="74">
        <f>IF('Cage group calculation'!D43=0,"",'Cage group calculation'!D43)</f>
        <v>4.1435105783267865</v>
      </c>
      <c r="E21" s="75">
        <f>IF('Cage group calculation'!E43=0,"",'Cage group calculation'!E43)</f>
        <v>2.1022610405444154E-4</v>
      </c>
      <c r="F21" s="75">
        <f>IF('Cage group calculation'!F43=0,"",'Cage group calculation'!F43)</f>
        <v>1.8170275402265403E-7</v>
      </c>
      <c r="G21" s="76">
        <f>IF('Cage group calculation'!G43=0,"",'Cage group calculation'!G43)</f>
        <v>1.1883413961121681E-5</v>
      </c>
    </row>
    <row r="22" spans="1:7" ht="16" thickBot="1" x14ac:dyDescent="0.25"/>
    <row r="23" spans="1:7" ht="16" thickBot="1" x14ac:dyDescent="0.25">
      <c r="A23" s="40" t="str">
        <f>IF('Cage group calculation'!A46=0,"",'Cage group calculation'!A46)</f>
        <v>mammals potentially affected</v>
      </c>
      <c r="B23" s="50" t="str">
        <f>IF('Cage group calculation'!B46=0,"",'Cage group calculation'!B46)</f>
        <v>Disturbance</v>
      </c>
      <c r="C23" s="47" t="str">
        <f>IF('Cage group calculation'!C46=0,"",'Cage group calculation'!C46)</f>
        <v>PTS injury</v>
      </c>
    </row>
    <row r="24" spans="1:7" x14ac:dyDescent="0.2">
      <c r="A24" s="118" t="str">
        <f>'Cage group calculation'!A47</f>
        <v>Minke whale (LF)</v>
      </c>
      <c r="B24" s="46">
        <f>IF('Cage group calculation'!B47=0,"",'Cage group calculation'!B47)</f>
        <v>7.458319040988215E-2</v>
      </c>
      <c r="C24" s="47">
        <f>IF('Cage group calculation'!C47=0,"",'Cage group calculation'!C47)</f>
        <v>3.7840698729799475E-6</v>
      </c>
    </row>
    <row r="25" spans="1:7" x14ac:dyDescent="0.2">
      <c r="A25" s="119" t="str">
        <f>'Cage group calculation'!A48</f>
        <v>Harbour porpoise (VHF)</v>
      </c>
      <c r="B25" s="48">
        <f>IF('Cage group calculation'!B48=0,"",'Cage group calculation'!B48)</f>
        <v>0.24032361354295362</v>
      </c>
      <c r="C25" s="49">
        <f>IF('Cage group calculation'!C48=0,"",'Cage group calculation'!C48)</f>
        <v>6.8923800974505751E-7</v>
      </c>
    </row>
    <row r="26" spans="1:7" x14ac:dyDescent="0.2">
      <c r="A26" s="119" t="str">
        <f>'Cage group calculation'!A49</f>
        <v>Bottlenose dolphin (HF)</v>
      </c>
      <c r="B26" s="48" t="str">
        <f>IF('Cage group calculation'!B49=0,"",'Cage group calculation'!B49)</f>
        <v/>
      </c>
      <c r="C26" s="49" t="str">
        <f>IF('Cage group calculation'!C49=0,"",'Cage group calculation'!C49)</f>
        <v/>
      </c>
    </row>
    <row r="27" spans="1:7" x14ac:dyDescent="0.2">
      <c r="A27" s="119" t="str">
        <f>'Cage group calculation'!A50</f>
        <v>Risso Dolphin (HF)</v>
      </c>
      <c r="B27" s="48">
        <f>IF('Cage group calculation'!B50=0,"",'Cage group calculation'!B50)</f>
        <v>0.795554031038743</v>
      </c>
      <c r="C27" s="49">
        <f>IF('Cage group calculation'!C50=0,"",'Cage group calculation'!C50)</f>
        <v>3.4886928772349573E-8</v>
      </c>
    </row>
    <row r="28" spans="1:7" x14ac:dyDescent="0.2">
      <c r="A28" s="119" t="str">
        <f>'Cage group calculation'!A51</f>
        <v>Common Dolphin (HF)</v>
      </c>
      <c r="B28" s="48">
        <f>IF('Cage group calculation'!B51=0,"",'Cage group calculation'!B51)</f>
        <v>0.55108690691746265</v>
      </c>
      <c r="C28" s="49">
        <f>IF('Cage group calculation'!C51=0,"",'Cage group calculation'!C51)</f>
        <v>2.4166466285012987E-8</v>
      </c>
    </row>
    <row r="29" spans="1:7" x14ac:dyDescent="0.2">
      <c r="A29" s="119" t="str">
        <f>'Cage group calculation'!A52</f>
        <v>White-sided Dolphin (HF)</v>
      </c>
      <c r="B29" s="48" t="str">
        <f>IF('Cage group calculation'!B52=0,"",'Cage group calculation'!B52)</f>
        <v/>
      </c>
      <c r="C29" s="49" t="str">
        <f>IF('Cage group calculation'!C52=0,"",'Cage group calculation'!C52)</f>
        <v/>
      </c>
    </row>
    <row r="30" spans="1:7" ht="16" thickBot="1" x14ac:dyDescent="0.25">
      <c r="A30" s="120" t="str">
        <f>'Cage group calculation'!A53</f>
        <v>White-beaked Dolphin (HF)</v>
      </c>
      <c r="B30" s="48">
        <f>IF('Cage group calculation'!B53=0,"",'Cage group calculation'!B53)</f>
        <v>0.21960606065131968</v>
      </c>
      <c r="C30" s="49">
        <f>IF('Cage group calculation'!C53=0,"",'Cage group calculation'!C53)</f>
        <v>9.6302459632006634E-9</v>
      </c>
    </row>
    <row r="31" spans="1:7" ht="16" thickBot="1" x14ac:dyDescent="0.25">
      <c r="A31" s="121" t="str">
        <f>'Cage group calculation'!A54</f>
        <v>TOTALs</v>
      </c>
      <c r="B31" s="51">
        <f>IF('Cage group calculation'!B54=0,"",'Cage group calculation'!B54)</f>
        <v>1.8811538025603611</v>
      </c>
      <c r="C31" s="52">
        <f>IF('Cage group calculation'!C54=0,"",'Cage group calculation'!C54)</f>
        <v>4.5419915237455674E-6</v>
      </c>
    </row>
    <row r="32" spans="1:7" ht="16" thickBot="1" x14ac:dyDescent="0.25"/>
    <row r="33" spans="1:7" x14ac:dyDescent="0.2">
      <c r="A33" s="77" t="s">
        <v>182</v>
      </c>
      <c r="B33" s="78"/>
      <c r="C33" s="78"/>
      <c r="D33" s="78"/>
      <c r="E33" s="78"/>
      <c r="F33" s="78"/>
      <c r="G33" s="79"/>
    </row>
    <row r="34" spans="1:7" x14ac:dyDescent="0.2">
      <c r="A34" s="80"/>
      <c r="B34" s="81"/>
      <c r="C34" s="81"/>
      <c r="D34" s="81"/>
      <c r="E34" s="81"/>
      <c r="F34" s="81"/>
      <c r="G34" s="82"/>
    </row>
    <row r="35" spans="1:7" x14ac:dyDescent="0.2">
      <c r="A35" s="80"/>
      <c r="B35" s="81"/>
      <c r="C35" s="81"/>
      <c r="D35" s="81"/>
      <c r="E35" s="81"/>
      <c r="F35" s="81"/>
      <c r="G35" s="82"/>
    </row>
    <row r="36" spans="1:7" x14ac:dyDescent="0.2">
      <c r="A36" s="80"/>
      <c r="B36" s="81"/>
      <c r="C36" s="81"/>
      <c r="D36" s="81"/>
      <c r="E36" s="81"/>
      <c r="F36" s="81"/>
      <c r="G36" s="82"/>
    </row>
    <row r="37" spans="1:7" x14ac:dyDescent="0.2">
      <c r="A37" s="80"/>
      <c r="B37" s="81"/>
      <c r="C37" s="81"/>
      <c r="D37" s="81"/>
      <c r="E37" s="81"/>
      <c r="F37" s="81"/>
      <c r="G37" s="82"/>
    </row>
    <row r="38" spans="1:7" x14ac:dyDescent="0.2">
      <c r="A38" s="80"/>
      <c r="B38" s="81"/>
      <c r="C38" s="81"/>
      <c r="D38" s="81"/>
      <c r="E38" s="81"/>
      <c r="F38" s="81"/>
      <c r="G38" s="82"/>
    </row>
    <row r="39" spans="1:7" x14ac:dyDescent="0.2">
      <c r="A39" s="80"/>
      <c r="B39" s="81"/>
      <c r="C39" s="81"/>
      <c r="D39" s="81"/>
      <c r="E39" s="81"/>
      <c r="F39" s="81"/>
      <c r="G39" s="82"/>
    </row>
    <row r="40" spans="1:7" x14ac:dyDescent="0.2">
      <c r="A40" s="80"/>
      <c r="B40" s="81"/>
      <c r="C40" s="81"/>
      <c r="D40" s="81"/>
      <c r="E40" s="81"/>
      <c r="F40" s="81"/>
      <c r="G40" s="82"/>
    </row>
    <row r="41" spans="1:7" x14ac:dyDescent="0.2">
      <c r="A41" s="80"/>
      <c r="B41" s="81"/>
      <c r="C41" s="81"/>
      <c r="D41" s="81"/>
      <c r="E41" s="81"/>
      <c r="F41" s="81"/>
      <c r="G41" s="82"/>
    </row>
    <row r="42" spans="1:7" x14ac:dyDescent="0.2">
      <c r="A42" s="80"/>
      <c r="B42" s="81"/>
      <c r="C42" s="81"/>
      <c r="D42" s="81"/>
      <c r="E42" s="81"/>
      <c r="F42" s="81"/>
      <c r="G42" s="82"/>
    </row>
    <row r="43" spans="1:7" x14ac:dyDescent="0.2">
      <c r="A43" s="80"/>
      <c r="B43" s="81"/>
      <c r="C43" s="81"/>
      <c r="D43" s="81"/>
      <c r="E43" s="81"/>
      <c r="F43" s="81"/>
      <c r="G43" s="82"/>
    </row>
    <row r="44" spans="1:7" x14ac:dyDescent="0.2">
      <c r="A44" s="80"/>
      <c r="B44" s="81"/>
      <c r="C44" s="81"/>
      <c r="D44" s="81"/>
      <c r="E44" s="81"/>
      <c r="F44" s="81"/>
      <c r="G44" s="82"/>
    </row>
    <row r="45" spans="1:7" x14ac:dyDescent="0.2">
      <c r="A45" s="80"/>
      <c r="B45" s="81"/>
      <c r="C45" s="81"/>
      <c r="D45" s="81"/>
      <c r="E45" s="81"/>
      <c r="F45" s="81"/>
      <c r="G45" s="82"/>
    </row>
    <row r="46" spans="1:7" x14ac:dyDescent="0.2">
      <c r="A46" s="80"/>
      <c r="B46" s="81"/>
      <c r="C46" s="81"/>
      <c r="D46" s="81"/>
      <c r="E46" s="81"/>
      <c r="F46" s="81"/>
      <c r="G46" s="82"/>
    </row>
    <row r="47" spans="1:7" ht="16" thickBot="1" x14ac:dyDescent="0.25">
      <c r="A47" s="83"/>
      <c r="B47" s="84"/>
      <c r="C47" s="84"/>
      <c r="D47" s="84"/>
      <c r="E47" s="84"/>
      <c r="F47" s="84"/>
      <c r="G47" s="85"/>
    </row>
  </sheetData>
  <sheetProtection algorithmName="SHA-512" hashValue="WxfPXadlC33YdXBtiUu7W+IMKL0HGRGrq+g/k7tmsYG+nzsOmMU7VZ3/6hI+xQwybvHlkHPVvDD8DDLicpt+BQ==" saltValue="cu/ds6Cz0cJNifqjlkW3pA==" spinCount="100000" sheet="1" objects="1" scenarios="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69ACE11018F64AACE191B8B4251AEC" ma:contentTypeVersion="13" ma:contentTypeDescription="Create a new document." ma:contentTypeScope="" ma:versionID="402c1824b8ada2bc478214a66341696b">
  <xsd:schema xmlns:xsd="http://www.w3.org/2001/XMLSchema" xmlns:xs="http://www.w3.org/2001/XMLSchema" xmlns:p="http://schemas.microsoft.com/office/2006/metadata/properties" xmlns:ns2="f363f9bf-e39a-41b5-a248-3ceda8c89b12" xmlns:ns3="cc3a7e16-98fb-429e-92e3-f07d436b4897" targetNamespace="http://schemas.microsoft.com/office/2006/metadata/properties" ma:root="true" ma:fieldsID="330774adb1a886df50063c6ecaeb9ab9" ns2:_="" ns3:_="">
    <xsd:import namespace="f363f9bf-e39a-41b5-a248-3ceda8c89b12"/>
    <xsd:import namespace="cc3a7e16-98fb-429e-92e3-f07d436b48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3f9bf-e39a-41b5-a248-3ceda8c89b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3a7e16-98fb-429e-92e3-f07d436b48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3a7e16-98fb-429e-92e3-f07d436b4897">
      <UserInfo>
        <DisplayName/>
        <AccountId xsi:nil="true"/>
        <AccountType/>
      </UserInfo>
    </SharedWithUsers>
    <MediaLengthInSeconds xmlns="f363f9bf-e39a-41b5-a248-3ceda8c89b12" xsi:nil="true"/>
  </documentManagement>
</p:properties>
</file>

<file path=customXml/itemProps1.xml><?xml version="1.0" encoding="utf-8"?>
<ds:datastoreItem xmlns:ds="http://schemas.openxmlformats.org/officeDocument/2006/customXml" ds:itemID="{CC7D2AE7-9798-45A9-A0DC-CF384DCF9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3f9bf-e39a-41b5-a248-3ceda8c89b12"/>
    <ds:schemaRef ds:uri="cc3a7e16-98fb-429e-92e3-f07d436b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23328B-3DAE-4547-853F-6C06F61E6FBA}">
  <ds:schemaRefs>
    <ds:schemaRef ds:uri="http://schemas.microsoft.com/sharepoint/v3/contenttype/forms"/>
  </ds:schemaRefs>
</ds:datastoreItem>
</file>

<file path=customXml/itemProps3.xml><?xml version="1.0" encoding="utf-8"?>
<ds:datastoreItem xmlns:ds="http://schemas.openxmlformats.org/officeDocument/2006/customXml" ds:itemID="{C2AD03CE-F689-4DE0-89BC-66D9E5FF7863}">
  <ds:schemaRefs>
    <ds:schemaRef ds:uri="http://purl.org/dc/elements/1.1/"/>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cc3a7e16-98fb-429e-92e3-f07d436b4897"/>
    <ds:schemaRef ds:uri="f363f9bf-e39a-41b5-a248-3ceda8c89b1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Cage group calculation</vt:lpstr>
      <vt:lpstr>Source data</vt:lpstr>
      <vt:lpstr>Output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Jeff-home</dc:creator>
  <cp:keywords/>
  <dc:description/>
  <cp:lastModifiedBy>Nathan Pyne-Carter</cp:lastModifiedBy>
  <cp:revision/>
  <dcterms:created xsi:type="dcterms:W3CDTF">2020-12-12T10:47:04Z</dcterms:created>
  <dcterms:modified xsi:type="dcterms:W3CDTF">2021-07-22T15:57:21Z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0x0101002769ACE11018F64AACE191B8B4251AEC</vt:lpwstr>
  </property>
  <property fmtid="{D5CDD505-2E9C-101B-9397-08002B2CF9AE}" pid="3" name="Order">
    <vt:r8>23172900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